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ngt\Desktop\IPEX Price increase Round 2\XLS from Asha\May 8 Asha\Plbg extracts for PDF\"/>
    </mc:Choice>
  </mc:AlternateContent>
  <xr:revisionPtr revIDLastSave="0" documentId="8_{4AD4A9F4-7A56-44F7-BD89-85627460F417}" xr6:coauthVersionLast="47" xr6:coauthVersionMax="47" xr10:uidLastSave="{00000000-0000-0000-0000-000000000000}"/>
  <bookViews>
    <workbookView xWindow="4755" yWindow="2550" windowWidth="28305" windowHeight="17805" xr2:uid="{BD63306F-D688-4004-B94D-DDDAD1EA1913}"/>
  </bookViews>
  <sheets>
    <sheet name="ABSFPN060126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E2" i="1"/>
  <c r="D3" i="1"/>
  <c r="E3" i="1"/>
  <c r="D4" i="1"/>
  <c r="E4" i="1"/>
  <c r="D5" i="1"/>
  <c r="E5" i="1"/>
  <c r="D6" i="1"/>
  <c r="E6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107" i="1"/>
  <c r="E107" i="1"/>
  <c r="D108" i="1"/>
  <c r="E108" i="1"/>
  <c r="D109" i="1"/>
  <c r="E109" i="1"/>
  <c r="D110" i="1"/>
  <c r="E110" i="1"/>
  <c r="D111" i="1"/>
  <c r="E111" i="1"/>
  <c r="D112" i="1"/>
  <c r="E112" i="1"/>
  <c r="D113" i="1"/>
  <c r="E113" i="1"/>
  <c r="D114" i="1"/>
  <c r="E114" i="1"/>
  <c r="D115" i="1"/>
  <c r="E115" i="1"/>
  <c r="D116" i="1"/>
  <c r="E116" i="1"/>
  <c r="D117" i="1"/>
  <c r="E117" i="1"/>
  <c r="D118" i="1"/>
  <c r="E118" i="1"/>
  <c r="D119" i="1"/>
  <c r="E119" i="1"/>
  <c r="D120" i="1"/>
  <c r="E120" i="1"/>
  <c r="D121" i="1"/>
  <c r="E121" i="1"/>
  <c r="D122" i="1"/>
  <c r="E122" i="1"/>
  <c r="D123" i="1"/>
  <c r="E123" i="1"/>
  <c r="D124" i="1"/>
  <c r="E124" i="1"/>
  <c r="D125" i="1"/>
  <c r="E125" i="1"/>
  <c r="D126" i="1"/>
  <c r="E126" i="1"/>
  <c r="D127" i="1"/>
  <c r="E127" i="1"/>
  <c r="D128" i="1"/>
  <c r="E128" i="1"/>
  <c r="D129" i="1"/>
  <c r="E129" i="1"/>
  <c r="D130" i="1"/>
  <c r="E130" i="1"/>
  <c r="D131" i="1"/>
  <c r="E131" i="1"/>
  <c r="D132" i="1"/>
  <c r="E132" i="1"/>
  <c r="D133" i="1"/>
  <c r="E133" i="1"/>
  <c r="D134" i="1"/>
  <c r="E134" i="1"/>
  <c r="D135" i="1"/>
  <c r="E135" i="1"/>
  <c r="D136" i="1"/>
  <c r="E136" i="1"/>
  <c r="D137" i="1"/>
  <c r="E137" i="1"/>
  <c r="D138" i="1"/>
  <c r="E138" i="1"/>
  <c r="D139" i="1"/>
  <c r="E139" i="1"/>
  <c r="D140" i="1"/>
  <c r="E140" i="1"/>
  <c r="D141" i="1"/>
  <c r="E141" i="1"/>
  <c r="D142" i="1"/>
  <c r="E142" i="1"/>
  <c r="D143" i="1"/>
  <c r="E143" i="1"/>
  <c r="D144" i="1"/>
  <c r="E144" i="1"/>
  <c r="D145" i="1"/>
  <c r="E145" i="1"/>
  <c r="D146" i="1"/>
  <c r="E146" i="1"/>
  <c r="D147" i="1"/>
  <c r="E147" i="1"/>
  <c r="D148" i="1"/>
  <c r="E148" i="1"/>
  <c r="D149" i="1"/>
  <c r="E149" i="1"/>
  <c r="D150" i="1"/>
  <c r="E150" i="1"/>
  <c r="D151" i="1"/>
  <c r="E151" i="1"/>
  <c r="D152" i="1"/>
  <c r="E152" i="1"/>
  <c r="D153" i="1"/>
  <c r="E153" i="1"/>
  <c r="D154" i="1"/>
  <c r="E154" i="1"/>
  <c r="D155" i="1"/>
  <c r="E155" i="1"/>
  <c r="D156" i="1"/>
  <c r="E156" i="1"/>
  <c r="D157" i="1"/>
  <c r="E157" i="1"/>
  <c r="D158" i="1"/>
  <c r="E158" i="1"/>
  <c r="D159" i="1"/>
  <c r="E159" i="1"/>
  <c r="D160" i="1"/>
  <c r="E160" i="1"/>
  <c r="D161" i="1"/>
  <c r="E161" i="1"/>
  <c r="D162" i="1"/>
  <c r="E162" i="1"/>
  <c r="D163" i="1"/>
  <c r="E163" i="1"/>
  <c r="D164" i="1"/>
  <c r="E164" i="1"/>
  <c r="D165" i="1"/>
  <c r="E165" i="1"/>
  <c r="D166" i="1"/>
  <c r="E166" i="1"/>
  <c r="D167" i="1"/>
  <c r="E167" i="1"/>
  <c r="D168" i="1"/>
  <c r="E168" i="1"/>
  <c r="D169" i="1"/>
  <c r="E169" i="1"/>
  <c r="D170" i="1"/>
  <c r="E170" i="1"/>
  <c r="D171" i="1"/>
  <c r="E171" i="1"/>
  <c r="D172" i="1"/>
  <c r="E172" i="1"/>
  <c r="D173" i="1"/>
  <c r="E173" i="1"/>
  <c r="D174" i="1"/>
  <c r="E174" i="1"/>
  <c r="D175" i="1"/>
  <c r="E175" i="1"/>
  <c r="D176" i="1"/>
  <c r="E176" i="1"/>
  <c r="D177" i="1"/>
  <c r="E177" i="1"/>
  <c r="D178" i="1"/>
  <c r="E178" i="1"/>
  <c r="D179" i="1"/>
  <c r="E179" i="1"/>
  <c r="D180" i="1"/>
  <c r="E180" i="1"/>
  <c r="D181" i="1"/>
  <c r="E181" i="1"/>
  <c r="D182" i="1"/>
  <c r="E182" i="1"/>
  <c r="D183" i="1"/>
  <c r="E183" i="1"/>
  <c r="D184" i="1"/>
  <c r="E184" i="1"/>
  <c r="D185" i="1"/>
  <c r="E185" i="1"/>
  <c r="D186" i="1"/>
  <c r="E186" i="1"/>
  <c r="D187" i="1"/>
  <c r="E187" i="1"/>
  <c r="D188" i="1"/>
  <c r="E188" i="1"/>
  <c r="D189" i="1"/>
  <c r="E189" i="1"/>
  <c r="D190" i="1"/>
  <c r="E190" i="1"/>
  <c r="D191" i="1"/>
  <c r="E191" i="1"/>
  <c r="D192" i="1"/>
  <c r="E192" i="1"/>
  <c r="D193" i="1"/>
  <c r="E193" i="1"/>
  <c r="D194" i="1"/>
  <c r="E194" i="1"/>
  <c r="D195" i="1"/>
  <c r="E195" i="1"/>
  <c r="D196" i="1"/>
  <c r="E196" i="1"/>
  <c r="D197" i="1"/>
  <c r="E197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213" i="1"/>
  <c r="E213" i="1"/>
  <c r="D214" i="1"/>
  <c r="E214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234" i="1"/>
  <c r="E234" i="1"/>
  <c r="D235" i="1"/>
  <c r="E235" i="1"/>
  <c r="D236" i="1"/>
  <c r="E236" i="1"/>
  <c r="D237" i="1"/>
  <c r="E237" i="1"/>
  <c r="D238" i="1"/>
  <c r="E238" i="1"/>
  <c r="D239" i="1"/>
  <c r="E239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263" i="1"/>
  <c r="E263" i="1"/>
</calcChain>
</file>

<file path=xl/sharedStrings.xml><?xml version="1.0" encoding="utf-8"?>
<sst xmlns="http://schemas.openxmlformats.org/spreadsheetml/2006/main" count="1432" uniqueCount="385">
  <si>
    <t>Price Table</t>
  </si>
  <si>
    <t>List - Id</t>
  </si>
  <si>
    <t>List - Name</t>
  </si>
  <si>
    <t>P-Code</t>
  </si>
  <si>
    <t>UPC-Code</t>
  </si>
  <si>
    <t>Universal Number</t>
  </si>
  <si>
    <t>Prod-Desc</t>
  </si>
  <si>
    <t>List Price</t>
  </si>
  <si>
    <t>/Per</t>
  </si>
  <si>
    <t>Eff-Date</t>
  </si>
  <si>
    <t>Unit Wght Kgs</t>
  </si>
  <si>
    <t>Unit Wght Lbs</t>
  </si>
  <si>
    <t>Carton Qty</t>
  </si>
  <si>
    <t>Price Class</t>
  </si>
  <si>
    <t>Obsolete/No Longer Replnsh.</t>
  </si>
  <si>
    <t>Obs-Eff-Date</t>
  </si>
  <si>
    <t>01*REGION-06</t>
  </si>
  <si>
    <t>ABSFPN0601261</t>
  </si>
  <si>
    <t>CDN ABS DWV Fittings  June 1 2026</t>
  </si>
  <si>
    <t>4" ABS DWV CLOSET FLANGE SPACER RING</t>
  </si>
  <si>
    <t>/1</t>
  </si>
  <si>
    <t>103231A-027012</t>
  </si>
  <si>
    <t>1 1/2" ABS DWV PIVOTING PTRAP UNION W/ C/O</t>
  </si>
  <si>
    <t>1 1/2" ABS DWV TEE HxHxH</t>
  </si>
  <si>
    <t>1 1/2"x90D ABS DWV 3 WAY ELBOW HxHxH</t>
  </si>
  <si>
    <t>1 1/2"x45D ABS DWV LONG ELBOW HxH</t>
  </si>
  <si>
    <t>4"x3" ABS DWV FLUSH BUSHING HxSP</t>
  </si>
  <si>
    <t>1 1/2" ABS DWV STRAINER ADPT HUB</t>
  </si>
  <si>
    <t>1 1/2"x90D ABS DWV EXTRA LONG ELBOW HxSP</t>
  </si>
  <si>
    <t>1 1/2" ABS DWV COMBO TRAPADPT</t>
  </si>
  <si>
    <t>4" ABS SWR TO DWV ADPT BUSHING SPxH</t>
  </si>
  <si>
    <t>1 1/2"x1 1/4"x1 1/2" ABS DWV SAN TEE HxHxH</t>
  </si>
  <si>
    <t>102126-027056</t>
  </si>
  <si>
    <t>2"x1 1/2" ABS DWV SAN TEEHxHxH</t>
  </si>
  <si>
    <t>2"x1 1/2"x2" ABS DWV SAN TEE HxHxH</t>
  </si>
  <si>
    <t>102128-027058</t>
  </si>
  <si>
    <t>2"x1 1/2"x1 1/2" ABS DWV SAN TEE HxHxH</t>
  </si>
  <si>
    <t>3" ABS DWV SAN TEE SPxHxH</t>
  </si>
  <si>
    <t>3"x2" ABS DWV SAN TEE HxHxH</t>
  </si>
  <si>
    <t>102131-027061</t>
  </si>
  <si>
    <t>3"x1 1/2" ABS DWV SAN TEEHxHxH</t>
  </si>
  <si>
    <t>1 1/2"x1 1/4" ABS DWV SANTEE HxHxH</t>
  </si>
  <si>
    <t>2"x1 1/4" ABS DWV SAN TEEHxHxH</t>
  </si>
  <si>
    <t>102134-027064</t>
  </si>
  <si>
    <t>4"x2" ABS DWV SAN TEE HxHxH</t>
  </si>
  <si>
    <t>4"x3" ABS DWV SAN TEE HxHxH</t>
  </si>
  <si>
    <t>3"x3"x3"x1 1/2" ABS DWV LSI SAN TEE HxHxHxHSI</t>
  </si>
  <si>
    <t>3"x3"x3"x1 1/2" ABS DWV RSI SAN TEE HxHxHxHSI</t>
  </si>
  <si>
    <t>3"x3"x3"x2" ABS DWV LSI SAN TEE HxHxHxHSI</t>
  </si>
  <si>
    <t>3"x3"x3"x2" ABS DWV RSI SAN TEE HxHxHxHSI</t>
  </si>
  <si>
    <t>1 1/4" ABS DWV SAN TEE HxHxH</t>
  </si>
  <si>
    <t>102151-027081</t>
  </si>
  <si>
    <t>1 1/2" ABS DWV SAN TEE HxHxH</t>
  </si>
  <si>
    <t>102152-027082</t>
  </si>
  <si>
    <t>2" ABS DWV SAN TEE HxHxH</t>
  </si>
  <si>
    <t>102153-027083</t>
  </si>
  <si>
    <t>3" ABS DWV SAN TEE HxHxH</t>
  </si>
  <si>
    <t>102154-027084</t>
  </si>
  <si>
    <t>4" ABS DWV SAN TEE HxHxH</t>
  </si>
  <si>
    <t>6" ABS DWV SAN TEE HxHxH</t>
  </si>
  <si>
    <t>3" ABS DWV DOUBLE SAN TEEHxHxHxH</t>
  </si>
  <si>
    <t>4" ABS DWV DOUBLE SAN TEEHxHxHxH</t>
  </si>
  <si>
    <t>2" ABS DWV DOUBLE SAN TEEHxHxHxH</t>
  </si>
  <si>
    <t>1 1/2" ABS DWV DOUBLE SANTEE HxHxHxH</t>
  </si>
  <si>
    <t>2"x1 1/2" ABS DWV DOUBLE SAN TEE HxHxHxH</t>
  </si>
  <si>
    <t>3"x1 1/2" ABS DWV DOUBLE SAN TEE HxHxHxH</t>
  </si>
  <si>
    <t>3"x2" ABS DWV DOUBLE SAN TEE HxHxHxH</t>
  </si>
  <si>
    <t>102201-027111</t>
  </si>
  <si>
    <t>1 1/2"x90D ABS DWV VENT ELBOW HxH</t>
  </si>
  <si>
    <t>102203-027113</t>
  </si>
  <si>
    <t>3"x90D ABS DWV VENT ELBOWHxH</t>
  </si>
  <si>
    <t>102250-027120</t>
  </si>
  <si>
    <t>1 1/4"x90D ABS DWV ELBOW HxH</t>
  </si>
  <si>
    <t>102251-027121</t>
  </si>
  <si>
    <t>1 1/2"x90D ABS DWV SHORT TURN ELBOW HxH</t>
  </si>
  <si>
    <t>102252-027122</t>
  </si>
  <si>
    <t>2"x90D ABS DWV SHORT TURNELBOW HxH</t>
  </si>
  <si>
    <t>102253L-027123</t>
  </si>
  <si>
    <t>3"x90D ABS DWV LONG ELBOWHxH</t>
  </si>
  <si>
    <t>4"x90D ABS DWV LONG ELBOWHxH</t>
  </si>
  <si>
    <t>102253-027125</t>
  </si>
  <si>
    <t>3"x90D ABS DWV SHORT TURNELBOW HxH</t>
  </si>
  <si>
    <t>6"x90D ABS DWV ELBOW HxH</t>
  </si>
  <si>
    <t>4"x3"x90D ABS DWV RED. ELBOW HxH</t>
  </si>
  <si>
    <t>102251L-027131</t>
  </si>
  <si>
    <t>1 1/2"x90D ABS DWV LONG ELBOW HxH</t>
  </si>
  <si>
    <t>102252L-027132</t>
  </si>
  <si>
    <t>2"x90D ABS DWV LONG ELBOWHxH</t>
  </si>
  <si>
    <t>102254-027134</t>
  </si>
  <si>
    <t>4"x90D ABS DWV SHORT TURNELBOW HxH</t>
  </si>
  <si>
    <t>1 1/2" ABS DWV C/O TEE W/PLUG HxHxFPT</t>
  </si>
  <si>
    <t>2" ABS DWV C/O TEE W/ PLUG HxHxFPT</t>
  </si>
  <si>
    <t>3" ABS DWV C/O TEE W/ PLUG HxHxFPT</t>
  </si>
  <si>
    <t>4" ABS DWV C/O TEE W/ PLUG HxHxFPT</t>
  </si>
  <si>
    <t>102107A-027148</t>
  </si>
  <si>
    <t>4"x3"x4" ABS DWV C/O TEE W/ PLUG HxHxFPT</t>
  </si>
  <si>
    <t>1 1/2"x90D ABS DWV EXTRA LONG ELBOW HxH</t>
  </si>
  <si>
    <t>2"x90D ABS DWV EXTRA LONGELBOW HxH</t>
  </si>
  <si>
    <t>3"x90D ABS DWV EXTRA LONGELBOW HxH</t>
  </si>
  <si>
    <t>112281A-027161</t>
  </si>
  <si>
    <t>1 1/2"x90D ABS DWV ELBOW SJ NUTxH</t>
  </si>
  <si>
    <t>1 1/2"x1 1/4"x90D ABS DWVELBOW SJ NUTxH</t>
  </si>
  <si>
    <t>1 1/4"x45D ABS DWV WYE HxHxH</t>
  </si>
  <si>
    <t>1 1/2"x45D ABS DWV WYE HxHxH</t>
  </si>
  <si>
    <t>2"x45D ABS DWV WYE HxHxH</t>
  </si>
  <si>
    <t>102303-027173</t>
  </si>
  <si>
    <t>3"x45D ABS DWV WYE HxHxH</t>
  </si>
  <si>
    <t>102304-027174</t>
  </si>
  <si>
    <t>4"x45D ABS DWV WYE HxHxH</t>
  </si>
  <si>
    <t>6"x45D ABS DWV WYE HxHxH</t>
  </si>
  <si>
    <t>1 1/2"x1/2" ABS DWV DISHWASHER WYE SPxH</t>
  </si>
  <si>
    <t>1 1/2"x1/2" ABS DWV DISHWASHER WYE HxHxHOSEBARB</t>
  </si>
  <si>
    <t>1 1/2"x1 1/4"x45D ABS DWVWYE HxHxH</t>
  </si>
  <si>
    <t>2"x1 1/2"x1 1/2"x45D ABS DWV WYE HxHxH</t>
  </si>
  <si>
    <t>2"x1 1/2"x45D ABS DWV WYEHxHxH</t>
  </si>
  <si>
    <t>102326-027196</t>
  </si>
  <si>
    <t>3"x2"x45D ABS DWV WYE HxHxH</t>
  </si>
  <si>
    <t>102327-027197</t>
  </si>
  <si>
    <t>4"x3"x45D ABS DWV WYE HxHxH</t>
  </si>
  <si>
    <t>4"x2"x45D ABS DWV WYE HxHxH</t>
  </si>
  <si>
    <t>3"x1 1/2"x45D ABS DWV WYESPxHxH</t>
  </si>
  <si>
    <t>102331-027201</t>
  </si>
  <si>
    <t>3"x1 1/2"x45D ABS DWV WYEHxHxH</t>
  </si>
  <si>
    <t>6"x4"x45D ABS DWV WYE HxHxH</t>
  </si>
  <si>
    <t>1 1/2"x3/4" ABS DWV DISHWASHER WYE HxHxHOSEBARB</t>
  </si>
  <si>
    <t>1 1/2" ABS DWV DOUBLE WYEHxHxHxH</t>
  </si>
  <si>
    <t>102352-027207</t>
  </si>
  <si>
    <t>2" ABS DWV DOUBLE WYE HxHxHxH</t>
  </si>
  <si>
    <t>3" ABS DWV DOUBLE WYE HxHxHxH</t>
  </si>
  <si>
    <t>4" ABS DWV DOUBLE WYE HxHxHxH</t>
  </si>
  <si>
    <t>2"x1 1/2" ABS DWV DOUBLE WYE HxHxHxH</t>
  </si>
  <si>
    <t>3"x1 1/2" ABS DWV DOUBLE WYE HxHxHxH</t>
  </si>
  <si>
    <t>3"x2" ABS DWV DOUBLE WYE HxHxHxH</t>
  </si>
  <si>
    <t>4"x3" ABS DWV DOUBLE WYE HxHxHxH</t>
  </si>
  <si>
    <t>4"x2" ABS DWV DOUBLE WYE HxHxHxH</t>
  </si>
  <si>
    <t>1 1/4"x45D ABS DWV ELBOW HxSP</t>
  </si>
  <si>
    <t>102421-027221</t>
  </si>
  <si>
    <t>1 1/2"x45D ABS DWV ELBOW HxSP</t>
  </si>
  <si>
    <t>102422-027222</t>
  </si>
  <si>
    <t>2"x45D ABS DWV ELBOW HxSP</t>
  </si>
  <si>
    <t>102423-027223</t>
  </si>
  <si>
    <t>3"x45D ABS DWV ELBOW HxSP</t>
  </si>
  <si>
    <t>4"x45D ABS DWV LONG ELBOWHxSP</t>
  </si>
  <si>
    <t>6"x45D ABS DWV ELBOW HxSP</t>
  </si>
  <si>
    <t>102424-027227</t>
  </si>
  <si>
    <t>4"x45D ABS DWV SHORT TURNELBOW HxSP</t>
  </si>
  <si>
    <t>1 1/4"x90D ABS DWV ELBOW HxSP</t>
  </si>
  <si>
    <t>102451-027231</t>
  </si>
  <si>
    <t>1 1/2"x90D ABS DWV ELBOW HxSP</t>
  </si>
  <si>
    <t>2"x90D ABS DWV ELBOW HxSP</t>
  </si>
  <si>
    <t>102453L-027233</t>
  </si>
  <si>
    <t>3"x90D ABS DWV LONG ELBOWHxSP</t>
  </si>
  <si>
    <t>4"x90D ABS DWV ELBOW HxSP</t>
  </si>
  <si>
    <t>102453-027235</t>
  </si>
  <si>
    <t>3"x90D ABS DWV SHORT TURNELBOW HxSP</t>
  </si>
  <si>
    <t>102520-027240</t>
  </si>
  <si>
    <t>1 1/4"x45D ABS DWV ELBOW HxH</t>
  </si>
  <si>
    <t>102521-027241</t>
  </si>
  <si>
    <t>1 1/2"x45D ABS DWV ELBOW HxH</t>
  </si>
  <si>
    <t>102522-027242</t>
  </si>
  <si>
    <t>2"x45D ABS DWV ELBOW HxH</t>
  </si>
  <si>
    <t>102523-027243</t>
  </si>
  <si>
    <t>3"x45D ABS DWV ELBOW HxH</t>
  </si>
  <si>
    <t>102504-027244</t>
  </si>
  <si>
    <t>4"x45D ABS DWV LONG ELBOWHxH</t>
  </si>
  <si>
    <t>6"x45D ABS DWV ELBOW HxH</t>
  </si>
  <si>
    <t>102524-027247</t>
  </si>
  <si>
    <t>4"x45D ABS DWV SHORT TURNELBOW HxH</t>
  </si>
  <si>
    <t>102550-027250</t>
  </si>
  <si>
    <t>1 1/4"x22 1/2D ABS DWV ELBOW HxH</t>
  </si>
  <si>
    <t>102551-027251</t>
  </si>
  <si>
    <t>1 1/2"x22 1/2D ABS DWV ELBOW HxH</t>
  </si>
  <si>
    <t>2"x22 1/2D ABS DWV ELBOW HxH</t>
  </si>
  <si>
    <t>102553-027253</t>
  </si>
  <si>
    <t>3"x22 1/2D ABS DWV ELBOW HxH</t>
  </si>
  <si>
    <t>4"x22 1/2D ABS DWV ELBOW HxH</t>
  </si>
  <si>
    <t>6"x22 1/2D ABS DWV ELBOW HxH</t>
  </si>
  <si>
    <t>102601-027261</t>
  </si>
  <si>
    <t>1 1/2"x60D ABS DWV ELBOW HxH</t>
  </si>
  <si>
    <t>2"x60D ABS DWV ELBOW HxH</t>
  </si>
  <si>
    <t>3"x60D ABS DWV ELBOW HxH</t>
  </si>
  <si>
    <t>4"x60D ABS DWV ELBOW HxH</t>
  </si>
  <si>
    <t>4"x1 1/2" ABS DWV RED. BUSHING SPxH</t>
  </si>
  <si>
    <t>102747-027277</t>
  </si>
  <si>
    <t>1 1/2"x1/2" ABS DWV DISHWASHER ADPT SPxFPT</t>
  </si>
  <si>
    <t>1 1/2"x1/2" ABS DWV DISHWASHER ADPT W/ BARB SP</t>
  </si>
  <si>
    <t>102749-027279</t>
  </si>
  <si>
    <t>1 1/2"x3/4" ABS DWV RED. BUSHING SPxFPT</t>
  </si>
  <si>
    <t>102750-027280</t>
  </si>
  <si>
    <t>1 1/2"x1 1/4" ABS DWV RED. BUSHING SPxH</t>
  </si>
  <si>
    <t>1 1/2"x1 1/4" ABS DWV RED. BUSHING SPxFPT</t>
  </si>
  <si>
    <t>102752-027282</t>
  </si>
  <si>
    <t>2"x1 1/2" ABS DWV RED. BUSHING SPxH</t>
  </si>
  <si>
    <t>3"x2" ABS DWV RED. BUSHING SPxH</t>
  </si>
  <si>
    <t>2"x1 1/2" ABS DWV RED. BUSHING SPxFPT</t>
  </si>
  <si>
    <t>102756-027286</t>
  </si>
  <si>
    <t>4"x3" ABS DWV RED. ADPT SPxH</t>
  </si>
  <si>
    <t>102758-027288</t>
  </si>
  <si>
    <t>4"x2" ABS DWV RED. BUSHING SPxH</t>
  </si>
  <si>
    <t>2"x1 1/4" ABS DWV RED. BUSHING SPxH</t>
  </si>
  <si>
    <t>3"x1 1/2" ABS DWV RED. BUSHING SPxH</t>
  </si>
  <si>
    <t>102764-027294</t>
  </si>
  <si>
    <t>4"x3" ABS SWR TO DWV ADPTSPxH</t>
  </si>
  <si>
    <t>102767-027297</t>
  </si>
  <si>
    <t>6"x4" ABS DWV RED. BUSHING SPxH</t>
  </si>
  <si>
    <t>2" ABS DWV TRAP ADPT SPxNUT</t>
  </si>
  <si>
    <t>2" ABS SWR TO DWV ADPT HxSP</t>
  </si>
  <si>
    <t>3" ABS SWR TO DWV ADPT HxSP</t>
  </si>
  <si>
    <t>102842-027312</t>
  </si>
  <si>
    <t>4" ABS SWR TO DWV ADPT BUSHING HxSP</t>
  </si>
  <si>
    <t>1 1/4" ABS DWV FEMALE TRAP ADPT PLASTIC NUTxH</t>
  </si>
  <si>
    <t>1 1/2" ABS DWV FEMALE TRAP ADPT PLASTIC NUTxH</t>
  </si>
  <si>
    <t>1 1/2"x1 1/4" ABS DWV FEMALE TRAP ADPT PLASTIC NUTxH</t>
  </si>
  <si>
    <t>1 1/4" ABS DWV MALE ADPT HxMPT</t>
  </si>
  <si>
    <t>1 1/2" ABS DWV MALE ADPT HxMPT</t>
  </si>
  <si>
    <t>2" ABS DWV MALE ADPT HxMPT</t>
  </si>
  <si>
    <t>3" ABS DWV MALE ADPT HxMPT</t>
  </si>
  <si>
    <t>4" ABS DWV MALE ADPT HxMPT</t>
  </si>
  <si>
    <t>1 1/2"x1 1/4" ABS DWV MALE ADPT HxMPT</t>
  </si>
  <si>
    <t>1 1/4" ABS DWV FEMALE ADPT HxFPT</t>
  </si>
  <si>
    <t>102891-027341</t>
  </si>
  <si>
    <t>1 1/2" ABS DWV FEMALE ADPT HxFPT</t>
  </si>
  <si>
    <t>2" ABS DWV FEMALE ADPT HxFPT</t>
  </si>
  <si>
    <t>3" ABS DWV FEMALE ADPT HxFPT</t>
  </si>
  <si>
    <t>4" ABS DWV FEMALE ADPT HxFPT</t>
  </si>
  <si>
    <t>1 1/4" ABS DWV COUPLING HxH</t>
  </si>
  <si>
    <t>103001-027351</t>
  </si>
  <si>
    <t>1 1/2" ABS DWV COUPLING HxH DRAINWAY ABS</t>
  </si>
  <si>
    <t>103002-027352</t>
  </si>
  <si>
    <t>2" ABS DWV COUPLING HxH</t>
  </si>
  <si>
    <t>103003-027353</t>
  </si>
  <si>
    <t>3" ABS DWV COUPLING HxH</t>
  </si>
  <si>
    <t>103004-027354</t>
  </si>
  <si>
    <t>4" ABS DWV COUPLING HxH</t>
  </si>
  <si>
    <t>103006-027356</t>
  </si>
  <si>
    <t>6" ABS DWV COUPLING HxH</t>
  </si>
  <si>
    <t>2" ABS DWV UNION W/ WASHER</t>
  </si>
  <si>
    <t>1 1/2"x1 1/4" ABS DWV COUPLING HxH</t>
  </si>
  <si>
    <t>2"x1 1/2" ABS DWV INCR. CPLG HxH</t>
  </si>
  <si>
    <t>3"x1 1/2" ABS DWV COUPLING HxH</t>
  </si>
  <si>
    <t>3"x2" ABS DWV INCR. CPLG HxH</t>
  </si>
  <si>
    <t>4"x2" ABS DWV INCR. CPLG HxH</t>
  </si>
  <si>
    <t>103026-027366</t>
  </si>
  <si>
    <t>4"x3" ABS DWV INCR. CPLG HxH</t>
  </si>
  <si>
    <t>4"x1 1/2" ABS DWV INCR. CPLG HxH</t>
  </si>
  <si>
    <t>4"x3" ABS SWR TO DWV ADPTHxH</t>
  </si>
  <si>
    <t>103057-027406</t>
  </si>
  <si>
    <t>6" ABS DWV C/O PLUG MPT</t>
  </si>
  <si>
    <t>1 1/4" ABS DWV PERM. CAP HUB</t>
  </si>
  <si>
    <t>103081-027411</t>
  </si>
  <si>
    <t>1 1/2" ABS DWV PERM. CAP HUB</t>
  </si>
  <si>
    <t>3" ABS DWV PERM. CAP HUB</t>
  </si>
  <si>
    <t>4" ABS DWV PERM. CAP HUB</t>
  </si>
  <si>
    <t>2" ABS DWV PERM. CAP HUB</t>
  </si>
  <si>
    <t>1 1/4" ABS DWV P TRAP HxH</t>
  </si>
  <si>
    <t>1 1/2" ABS DWV P TRAP HxH</t>
  </si>
  <si>
    <t>103202-027432</t>
  </si>
  <si>
    <t>2" ABS DWV P TRAP HxH</t>
  </si>
  <si>
    <t>103203-027433</t>
  </si>
  <si>
    <t>3" ABS DWV P TRAP HxH</t>
  </si>
  <si>
    <t>103204-027434</t>
  </si>
  <si>
    <t>4" ABS DWV P TRAP HxH</t>
  </si>
  <si>
    <t>1 1/4" ABS DWV P TRAP W/ C/O HxH</t>
  </si>
  <si>
    <t>1 1/2" ABS DWV P TRAP W/ C/O HxH</t>
  </si>
  <si>
    <t>2" ABS DWV P TRAP W/ C/O HxH</t>
  </si>
  <si>
    <t>2" ABS DWV P TRAP UNION W/ C/O HxH</t>
  </si>
  <si>
    <t>1 1/4" ABS DWV S TRAP W/ C/O HxH</t>
  </si>
  <si>
    <t>E-No Longer Replenished</t>
  </si>
  <si>
    <t>1 1/2" ABS DWV S TRAP W/ C/O HxH</t>
  </si>
  <si>
    <t>103211A-027468</t>
  </si>
  <si>
    <t>1 1/2" ABS DWV P TRAP UNION W/ C/O HxH</t>
  </si>
  <si>
    <t>103211E-027471</t>
  </si>
  <si>
    <t>1 1/2" ABS DWV P TRAP UNION HxH</t>
  </si>
  <si>
    <t>103212E-027472</t>
  </si>
  <si>
    <t>2" ABS DWV P TRAP UNION HxH</t>
  </si>
  <si>
    <t>102800A-027476</t>
  </si>
  <si>
    <t>1 1/4" ABS DWV MALE TRAP ADPT SPxNUT</t>
  </si>
  <si>
    <t>102801A-027477</t>
  </si>
  <si>
    <t>1 1/2" ABS DWV MALE TRAP ADPT SPxNUT</t>
  </si>
  <si>
    <t>103211Y-027478</t>
  </si>
  <si>
    <t>1 1/2"x1 1/4" ABS DWV MALE TRAP ADPT SPxNUT</t>
  </si>
  <si>
    <t>1 1/4" ABS DWV C/O PLUG MPT</t>
  </si>
  <si>
    <t>1 1/2" ABS DWV C/O PLUG MPT</t>
  </si>
  <si>
    <t>2" ABS DWV C/O PLUG MPT</t>
  </si>
  <si>
    <t>3" ABS DWV C/O PLUG MPT</t>
  </si>
  <si>
    <t>4" ABS DWV C/O PLUG MPT</t>
  </si>
  <si>
    <t>103422-027522</t>
  </si>
  <si>
    <t>2" ABS DWV CI ADPT MJ SPxH</t>
  </si>
  <si>
    <t>3" ABS DWV CI ADPT MJ SPxH</t>
  </si>
  <si>
    <t>103424-027524</t>
  </si>
  <si>
    <t>4" ABS DWV CI ADPT MJ SPxH</t>
  </si>
  <si>
    <t>4"x3" ABS DWV CI ADPT MJ SPxH</t>
  </si>
  <si>
    <t>2" ABS DWV CI ADPT CI HxSP</t>
  </si>
  <si>
    <t>3" ABS DWV CI ADPT CI HxSP</t>
  </si>
  <si>
    <t>4" ABS DWV CI ADPT CI HxSP</t>
  </si>
  <si>
    <t>4"x3" ABS DWV CI ADPT CI HxSP</t>
  </si>
  <si>
    <t>103604-027573</t>
  </si>
  <si>
    <t>4" ABS DWV CLOSET FLANGE HUB</t>
  </si>
  <si>
    <t>103644-027574</t>
  </si>
  <si>
    <t>4"x3" ABS DWV ADJ. OFFSETFLANGE HUB DRAINWAY ABS</t>
  </si>
  <si>
    <t>103631-027582</t>
  </si>
  <si>
    <t>4"x3" ABS DWV ADJ. CLOSETFLANGE FLUSH</t>
  </si>
  <si>
    <t>103631T-027583</t>
  </si>
  <si>
    <t>4"x3" ABS DWV ADJ. CLOSETFLANGE W/ MLD TEST PLATE</t>
  </si>
  <si>
    <t>103634-027584</t>
  </si>
  <si>
    <t>4"x3" ABS DWV CLOSET FLANGE HUB</t>
  </si>
  <si>
    <t>103634-7-027585</t>
  </si>
  <si>
    <t>4"x3" ABS DWV CLOSET FLANGE SP</t>
  </si>
  <si>
    <t>4"x3" ABS DWV ADJ. CLOSETFLANGE HUB</t>
  </si>
  <si>
    <t>103626-027587</t>
  </si>
  <si>
    <t>4"x3" ABS DWV ADJ. CLOSETFLANGE SP</t>
  </si>
  <si>
    <t>4"x3" ABS DWV ADJ. CLOSETFLANGE W/ TEST PLUG</t>
  </si>
  <si>
    <t>103634T-027591</t>
  </si>
  <si>
    <t>4"x3" ABS DWV CLOSET FLANGE W/ MLD TEST PLATE HUB</t>
  </si>
  <si>
    <t>4"x3" ABS DWV ADJ. CLOSETFLANGE KIT FOR CONCRETE</t>
  </si>
  <si>
    <t>113650A-027593</t>
  </si>
  <si>
    <t>4"x3" ABS DWV ADJ. CLOSETFLANGE KIT FOR CONCRETE (SLAB)</t>
  </si>
  <si>
    <t>6" ABS DWV ADAPTER HxFPT</t>
  </si>
  <si>
    <t>1 1/4" ABS DWV C/O ADPT SPxFPT</t>
  </si>
  <si>
    <t>103701-1-027601</t>
  </si>
  <si>
    <t>1 1/2" ABS DWV C/O ADPT SPxFPT</t>
  </si>
  <si>
    <t>103702-1-027602</t>
  </si>
  <si>
    <t>2" ABS DWV C/O ADPT SPxFPT</t>
  </si>
  <si>
    <t>103703-1-027603</t>
  </si>
  <si>
    <t>3" ABS DWV C/O ADPT SPxFPT</t>
  </si>
  <si>
    <t>103704-1-027604</t>
  </si>
  <si>
    <t>4" ABS DWV C/O ADPT SPxFPT</t>
  </si>
  <si>
    <t>103706A-027610</t>
  </si>
  <si>
    <t>6" ABS DWV C/O ADPT W/ PLUG SPxFPT</t>
  </si>
  <si>
    <t>103811A-027611</t>
  </si>
  <si>
    <t>1 1/2" ABS DWV EXPANSION JOINT HxH</t>
  </si>
  <si>
    <t>103812A-027612</t>
  </si>
  <si>
    <t>2" ABS DWV EXPANSION JOINT HxH</t>
  </si>
  <si>
    <t>3" ABS DWV EXPANSION JOINT HxH</t>
  </si>
  <si>
    <t>4" ABS DWV EXPANSION JOINT HxH</t>
  </si>
  <si>
    <t>3" ABS DWV EXPANSION JOINT HxSP</t>
  </si>
  <si>
    <t>3" ABS DWV DRAIN GRATE SP</t>
  </si>
  <si>
    <t>2" ABS DWV SLIP JT NUT SJBLACK</t>
  </si>
  <si>
    <t>1 1/2" ABS DWV SLIP JT NUT FPT</t>
  </si>
  <si>
    <t>1 1/2"x7" ABS DWV MALE TRAP ADPT SPxPLASTIC NUT</t>
  </si>
  <si>
    <t>3" ABS DWV TEST PLATE</t>
  </si>
  <si>
    <t>3"x1 1/2" ABS DWV SAN TEESPxHxH</t>
  </si>
  <si>
    <t>3"x2" ABS DWV SAN TEE SPxHxH</t>
  </si>
  <si>
    <t>3"x45D ABS DWV WYE SPxHxH</t>
  </si>
  <si>
    <t>1 1/4" ABS DWV C/O ADPT W/ PLUG SPxFPT</t>
  </si>
  <si>
    <t>1 1/2" ABS DWV C/O ADPT W/ PLUG SPxFPT</t>
  </si>
  <si>
    <t>2" ABS DWV C/O ADPT W/ PLUG SPxFPT</t>
  </si>
  <si>
    <t>3" ABS DWV C/O ADPT W/ PLUG SPxFPT</t>
  </si>
  <si>
    <t>4" ABS DWV C/O ADPT W/ PLUG SPxFPT</t>
  </si>
  <si>
    <t>103940A-027730</t>
  </si>
  <si>
    <t>1 1/2" ABS DWV CONT. WASTE END OTLT</t>
  </si>
  <si>
    <t>103941A-027740</t>
  </si>
  <si>
    <t>1 1/2" ABS DWV CONT. WASTE CENTRE OTLT</t>
  </si>
  <si>
    <t>103864-027741</t>
  </si>
  <si>
    <t>4" ABS DWV DRAIN GRATE SP</t>
  </si>
  <si>
    <t>1 1/4" ABS DWV WASHER SJ</t>
  </si>
  <si>
    <t>1 1/2" ABS DWV WASHER SJ</t>
  </si>
  <si>
    <t>10TC314-027874</t>
  </si>
  <si>
    <t>1 1/4" PE FLEXIBLE TEST CAP ORANGE</t>
  </si>
  <si>
    <t>10TC315-027875</t>
  </si>
  <si>
    <t>1 1/2" PE FLEXIBLE TEST CAP HUB ORANGE</t>
  </si>
  <si>
    <t>10TC316-027876</t>
  </si>
  <si>
    <t>2" PE FLEXIBLE TEST CAP ORANGE</t>
  </si>
  <si>
    <t>10TC318-027878</t>
  </si>
  <si>
    <t>3" PE FLEXIBLE TEST CAP ORANGE</t>
  </si>
  <si>
    <t>10TC320-027880</t>
  </si>
  <si>
    <t>4" PE FLEXIBLE TEST CAP ORANGE</t>
  </si>
  <si>
    <t>1 1/2" ABS DWV CAP THR</t>
  </si>
  <si>
    <t>1 1/2" ABS DWV GALVANIZEDPIPE ADPT HxSJ</t>
  </si>
  <si>
    <t>4"x3" ABS DWV P TRAP HxH</t>
  </si>
  <si>
    <t>4"x3"x45D ABS DWV DISCHARGE CLOSET FLANGE HUB W/ PLASTIC RING</t>
  </si>
  <si>
    <t>103217-027983</t>
  </si>
  <si>
    <t>1 1/2" ABS DWV SWIV. TRAYPLUG ADPT W/ WASHER</t>
  </si>
  <si>
    <t>102861A-027984</t>
  </si>
  <si>
    <t>1 1/2" ABS COP TO DWV ADPT HxSJ</t>
  </si>
  <si>
    <t>102863A-027985</t>
  </si>
  <si>
    <t>1 1/2" ABS DWV UNION W/ WASHER</t>
  </si>
  <si>
    <t>102862A-027987</t>
  </si>
  <si>
    <t>1 1/4" ABS COP TO DWV ADPT HxSJ</t>
  </si>
  <si>
    <t>102864A-027988</t>
  </si>
  <si>
    <t>1 1/2"x1 1/4" ABS COP TO DWV ADPT HxSJ</t>
  </si>
  <si>
    <t>2" ABS COP TO DWV ADPT HxSJ</t>
  </si>
  <si>
    <t>PP 1-1/4 SLIP JOINT NUT FPT</t>
  </si>
  <si>
    <t>PP 1-1/2 SLIP JOINT NUT FPT</t>
  </si>
  <si>
    <t>PP 1-1/4 CAP FOR P-TRAP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</si>
</sst>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  <xf numFmtId="4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BF377-D0D7-45BD-98AE-FB8360F58B03}">
  <dimension ref="A1:P263"/>
  <sheetViews>
    <sheetView tabSelected="1" workbookViewId="0"/>
  </sheetViews>
  <sheetFormatPr defaultRowHeight="15" x14ac:dyDescent="0.25"/>
  <cols>
    <col min="1" max="1" width="13.7109375" bestFit="1" customWidth="1"/>
    <col min="2" max="2" width="15" bestFit="1" customWidth="1"/>
    <col min="3" max="3" width="31.42578125" bestFit="1" customWidth="1"/>
    <col min="4" max="4" width="7.28515625" style="3" bestFit="1" customWidth="1"/>
    <col min="5" max="5" width="9.7109375" bestFit="1" customWidth="1"/>
    <col min="6" max="6" width="17" bestFit="1" customWidth="1"/>
    <col min="7" max="7" width="63" bestFit="1" customWidth="1"/>
    <col min="8" max="8" width="10.5703125" style="4" bestFit="1" customWidth="1"/>
    <col min="9" max="9" width="4.5703125" bestFit="1" customWidth="1"/>
    <col min="10" max="10" width="8.42578125" bestFit="1" customWidth="1"/>
    <col min="11" max="11" width="13.140625" bestFit="1" customWidth="1"/>
    <col min="12" max="12" width="12.85546875" bestFit="1" customWidth="1"/>
    <col min="13" max="13" width="10.140625" bestFit="1" customWidth="1"/>
    <col min="14" max="14" width="10.7109375" bestFit="1" customWidth="1"/>
    <col min="15" max="15" width="27.140625" bestFit="1" customWidth="1"/>
    <col min="16" max="16" width="12.140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s="3" t="s">
        <v>3</v>
      </c>
      <c r="E1" t="s">
        <v>4</v>
      </c>
      <c r="F1" t="s">
        <v>5</v>
      </c>
      <c r="G1" t="s">
        <v>6</v>
      </c>
      <c r="H1" s="4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s="3" t="str">
        <f>("027002")</f>
        <v>027002</v>
      </c>
      <c r="E2" t="str">
        <f>("622454060210")</f>
        <v>622454060210</v>
      </c>
      <c r="G2" t="s">
        <v>19</v>
      </c>
      <c r="H2" s="4">
        <v>69</v>
      </c>
      <c r="I2" t="s">
        <v>20</v>
      </c>
      <c r="J2" s="1">
        <v>46174</v>
      </c>
      <c r="K2">
        <v>7.2999999999999995E-2</v>
      </c>
      <c r="L2">
        <v>0.161</v>
      </c>
      <c r="M2">
        <v>25</v>
      </c>
      <c r="N2">
        <v>27</v>
      </c>
    </row>
    <row r="3" spans="1:16" x14ac:dyDescent="0.25">
      <c r="A3" t="s">
        <v>16</v>
      </c>
      <c r="B3" t="s">
        <v>17</v>
      </c>
      <c r="C3" t="s">
        <v>18</v>
      </c>
      <c r="D3" s="3" t="str">
        <f>("027012")</f>
        <v>027012</v>
      </c>
      <c r="E3" t="str">
        <f>("622454255586")</f>
        <v>622454255586</v>
      </c>
      <c r="F3" t="s">
        <v>21</v>
      </c>
      <c r="G3" t="s">
        <v>22</v>
      </c>
      <c r="H3" s="4">
        <v>109</v>
      </c>
      <c r="I3" t="s">
        <v>20</v>
      </c>
      <c r="J3" s="1">
        <v>46174</v>
      </c>
      <c r="K3">
        <v>0.23400000000000001</v>
      </c>
      <c r="L3">
        <v>0.51600000000000001</v>
      </c>
      <c r="M3">
        <v>35</v>
      </c>
      <c r="N3">
        <v>27</v>
      </c>
    </row>
    <row r="4" spans="1:16" x14ac:dyDescent="0.25">
      <c r="A4" t="s">
        <v>16</v>
      </c>
      <c r="B4" t="s">
        <v>17</v>
      </c>
      <c r="C4" t="s">
        <v>18</v>
      </c>
      <c r="D4" s="3" t="str">
        <f>("027021")</f>
        <v>027021</v>
      </c>
      <c r="E4" t="str">
        <f>("622454270213")</f>
        <v>622454270213</v>
      </c>
      <c r="G4" t="s">
        <v>23</v>
      </c>
      <c r="H4" s="4">
        <v>35.75</v>
      </c>
      <c r="I4" t="s">
        <v>20</v>
      </c>
      <c r="J4" s="1">
        <v>46174</v>
      </c>
      <c r="K4">
        <v>8.5000000000000006E-2</v>
      </c>
      <c r="L4">
        <v>0.187</v>
      </c>
      <c r="M4">
        <v>35</v>
      </c>
      <c r="N4">
        <v>27</v>
      </c>
    </row>
    <row r="5" spans="1:16" x14ac:dyDescent="0.25">
      <c r="A5" t="s">
        <v>16</v>
      </c>
      <c r="B5" t="s">
        <v>17</v>
      </c>
      <c r="C5" t="s">
        <v>18</v>
      </c>
      <c r="D5" s="3" t="str">
        <f>("027022")</f>
        <v>027022</v>
      </c>
      <c r="E5" t="str">
        <f>("622454270220")</f>
        <v>622454270220</v>
      </c>
      <c r="G5" t="s">
        <v>24</v>
      </c>
      <c r="H5" s="4">
        <v>223</v>
      </c>
      <c r="I5" t="s">
        <v>20</v>
      </c>
      <c r="J5" s="1">
        <v>46174</v>
      </c>
      <c r="K5">
        <v>0.1</v>
      </c>
      <c r="L5">
        <v>0.22</v>
      </c>
      <c r="M5">
        <v>70</v>
      </c>
      <c r="N5">
        <v>27</v>
      </c>
    </row>
    <row r="6" spans="1:16" x14ac:dyDescent="0.25">
      <c r="A6" t="s">
        <v>16</v>
      </c>
      <c r="B6" t="s">
        <v>17</v>
      </c>
      <c r="C6" t="s">
        <v>18</v>
      </c>
      <c r="D6" s="3" t="str">
        <f>("027033")</f>
        <v>027033</v>
      </c>
      <c r="E6" t="str">
        <f>("622454066687")</f>
        <v>622454066687</v>
      </c>
      <c r="G6" t="s">
        <v>25</v>
      </c>
      <c r="H6" s="4">
        <v>33.950000000000003</v>
      </c>
      <c r="I6" t="s">
        <v>20</v>
      </c>
      <c r="J6" s="1">
        <v>46174</v>
      </c>
      <c r="K6">
        <v>5.6000000000000001E-2</v>
      </c>
      <c r="L6">
        <v>0.123</v>
      </c>
      <c r="M6">
        <v>125</v>
      </c>
      <c r="N6">
        <v>27</v>
      </c>
    </row>
    <row r="7" spans="1:16" x14ac:dyDescent="0.25">
      <c r="A7" t="s">
        <v>16</v>
      </c>
      <c r="B7" t="s">
        <v>17</v>
      </c>
      <c r="C7" t="s">
        <v>18</v>
      </c>
      <c r="D7" s="3" t="str">
        <f>("027034")</f>
        <v>027034</v>
      </c>
      <c r="E7" t="str">
        <f>("622454066694")</f>
        <v>622454066694</v>
      </c>
      <c r="G7" t="s">
        <v>26</v>
      </c>
      <c r="H7" s="4">
        <v>122</v>
      </c>
      <c r="I7" t="s">
        <v>20</v>
      </c>
      <c r="J7" s="1">
        <v>46174</v>
      </c>
      <c r="K7">
        <v>0.17199999999999999</v>
      </c>
      <c r="L7">
        <v>0.379</v>
      </c>
      <c r="M7">
        <v>35</v>
      </c>
      <c r="N7">
        <v>27</v>
      </c>
    </row>
    <row r="8" spans="1:16" x14ac:dyDescent="0.25">
      <c r="A8" t="s">
        <v>16</v>
      </c>
      <c r="B8" t="s">
        <v>17</v>
      </c>
      <c r="C8" t="s">
        <v>18</v>
      </c>
      <c r="D8" s="3" t="str">
        <f>("027036")</f>
        <v>027036</v>
      </c>
      <c r="E8" t="str">
        <f>("622454066700")</f>
        <v>622454066700</v>
      </c>
      <c r="G8" t="s">
        <v>27</v>
      </c>
      <c r="H8" s="4">
        <v>71</v>
      </c>
      <c r="I8" t="s">
        <v>20</v>
      </c>
      <c r="J8" s="1">
        <v>46174</v>
      </c>
      <c r="K8">
        <v>7.9000000000000001E-2</v>
      </c>
      <c r="L8">
        <v>0.17399999999999999</v>
      </c>
      <c r="M8">
        <v>40</v>
      </c>
      <c r="N8">
        <v>27</v>
      </c>
    </row>
    <row r="9" spans="1:16" x14ac:dyDescent="0.25">
      <c r="A9" t="s">
        <v>16</v>
      </c>
      <c r="B9" t="s">
        <v>17</v>
      </c>
      <c r="C9" t="s">
        <v>18</v>
      </c>
      <c r="D9" s="3" t="str">
        <f>("027037")</f>
        <v>027037</v>
      </c>
      <c r="E9" t="str">
        <f>("622454066717")</f>
        <v>622454066717</v>
      </c>
      <c r="G9" t="s">
        <v>28</v>
      </c>
      <c r="H9" s="4">
        <v>65</v>
      </c>
      <c r="I9" t="s">
        <v>20</v>
      </c>
      <c r="J9" s="1">
        <v>46174</v>
      </c>
      <c r="K9">
        <v>6.5000000000000002E-2</v>
      </c>
      <c r="L9">
        <v>0.14299999999999999</v>
      </c>
      <c r="M9">
        <v>45</v>
      </c>
      <c r="N9">
        <v>27</v>
      </c>
    </row>
    <row r="10" spans="1:16" x14ac:dyDescent="0.25">
      <c r="A10" t="s">
        <v>16</v>
      </c>
      <c r="B10" t="s">
        <v>17</v>
      </c>
      <c r="C10" t="s">
        <v>18</v>
      </c>
      <c r="D10" s="3" t="str">
        <f>("027039")</f>
        <v>027039</v>
      </c>
      <c r="E10" t="str">
        <f>("622454066724")</f>
        <v>622454066724</v>
      </c>
      <c r="G10" t="s">
        <v>29</v>
      </c>
      <c r="H10" s="4">
        <v>57</v>
      </c>
      <c r="I10" t="s">
        <v>20</v>
      </c>
      <c r="J10" s="1">
        <v>46174</v>
      </c>
      <c r="K10">
        <v>4.2999999999999997E-2</v>
      </c>
      <c r="L10">
        <v>9.5000000000000001E-2</v>
      </c>
      <c r="M10">
        <v>100</v>
      </c>
      <c r="N10">
        <v>27</v>
      </c>
    </row>
    <row r="11" spans="1:16" x14ac:dyDescent="0.25">
      <c r="A11" t="s">
        <v>16</v>
      </c>
      <c r="B11" t="s">
        <v>17</v>
      </c>
      <c r="C11" t="s">
        <v>18</v>
      </c>
      <c r="D11" s="3" t="str">
        <f>("027050")</f>
        <v>027050</v>
      </c>
      <c r="E11" t="str">
        <f>("622454270503")</f>
        <v>622454270503</v>
      </c>
      <c r="G11" t="s">
        <v>30</v>
      </c>
      <c r="H11" s="4">
        <v>194</v>
      </c>
      <c r="I11" t="s">
        <v>20</v>
      </c>
      <c r="J11" s="1">
        <v>46174</v>
      </c>
      <c r="K11">
        <v>0.224</v>
      </c>
      <c r="L11">
        <v>0.49399999999999999</v>
      </c>
      <c r="M11">
        <v>25</v>
      </c>
      <c r="N11">
        <v>27</v>
      </c>
    </row>
    <row r="12" spans="1:16" x14ac:dyDescent="0.25">
      <c r="A12" t="s">
        <v>16</v>
      </c>
      <c r="B12" t="s">
        <v>17</v>
      </c>
      <c r="C12" t="s">
        <v>18</v>
      </c>
      <c r="D12" s="3" t="str">
        <f>("027055")</f>
        <v>027055</v>
      </c>
      <c r="E12" t="str">
        <f>("622454270558")</f>
        <v>622454270558</v>
      </c>
      <c r="G12" t="s">
        <v>31</v>
      </c>
      <c r="H12" s="4">
        <v>121</v>
      </c>
      <c r="I12" t="s">
        <v>20</v>
      </c>
      <c r="J12" s="1">
        <v>46174</v>
      </c>
      <c r="K12">
        <v>8.6999999999999994E-2</v>
      </c>
      <c r="L12">
        <v>0.192</v>
      </c>
      <c r="M12">
        <v>15</v>
      </c>
      <c r="N12">
        <v>27</v>
      </c>
    </row>
    <row r="13" spans="1:16" x14ac:dyDescent="0.25">
      <c r="A13" t="s">
        <v>16</v>
      </c>
      <c r="B13" t="s">
        <v>17</v>
      </c>
      <c r="C13" t="s">
        <v>18</v>
      </c>
      <c r="D13" s="3" t="str">
        <f>("027056")</f>
        <v>027056</v>
      </c>
      <c r="E13" t="str">
        <f>("622454270565")</f>
        <v>622454270565</v>
      </c>
      <c r="F13" t="s">
        <v>32</v>
      </c>
      <c r="G13" t="s">
        <v>33</v>
      </c>
      <c r="H13" s="4">
        <v>57</v>
      </c>
      <c r="I13" t="s">
        <v>20</v>
      </c>
      <c r="J13" s="1">
        <v>46174</v>
      </c>
      <c r="K13">
        <v>0.11700000000000001</v>
      </c>
      <c r="L13">
        <v>0.25800000000000001</v>
      </c>
      <c r="M13">
        <v>50</v>
      </c>
      <c r="N13">
        <v>27</v>
      </c>
    </row>
    <row r="14" spans="1:16" x14ac:dyDescent="0.25">
      <c r="A14" t="s">
        <v>16</v>
      </c>
      <c r="B14" t="s">
        <v>17</v>
      </c>
      <c r="C14" t="s">
        <v>18</v>
      </c>
      <c r="D14" s="3" t="str">
        <f>("027057")</f>
        <v>027057</v>
      </c>
      <c r="E14" t="str">
        <f>("622454270572")</f>
        <v>622454270572</v>
      </c>
      <c r="G14" t="s">
        <v>34</v>
      </c>
      <c r="H14" s="4">
        <v>105</v>
      </c>
      <c r="I14" t="s">
        <v>20</v>
      </c>
      <c r="J14" s="1">
        <v>46174</v>
      </c>
      <c r="K14">
        <v>0.123</v>
      </c>
      <c r="L14">
        <v>0.27100000000000002</v>
      </c>
      <c r="M14">
        <v>25</v>
      </c>
      <c r="N14">
        <v>27</v>
      </c>
    </row>
    <row r="15" spans="1:16" x14ac:dyDescent="0.25">
      <c r="A15" t="s">
        <v>16</v>
      </c>
      <c r="B15" t="s">
        <v>17</v>
      </c>
      <c r="C15" t="s">
        <v>18</v>
      </c>
      <c r="D15" s="3" t="str">
        <f>("027058")</f>
        <v>027058</v>
      </c>
      <c r="E15" t="str">
        <f>("622454270589")</f>
        <v>622454270589</v>
      </c>
      <c r="F15" t="s">
        <v>35</v>
      </c>
      <c r="G15" t="s">
        <v>36</v>
      </c>
      <c r="H15" s="4">
        <v>57</v>
      </c>
      <c r="I15" t="s">
        <v>20</v>
      </c>
      <c r="J15" s="1">
        <v>46174</v>
      </c>
      <c r="K15">
        <v>0.113</v>
      </c>
      <c r="L15">
        <v>0.249</v>
      </c>
      <c r="M15">
        <v>45</v>
      </c>
      <c r="N15">
        <v>27</v>
      </c>
    </row>
    <row r="16" spans="1:16" x14ac:dyDescent="0.25">
      <c r="A16" t="s">
        <v>16</v>
      </c>
      <c r="B16" t="s">
        <v>17</v>
      </c>
      <c r="C16" t="s">
        <v>18</v>
      </c>
      <c r="D16" s="3" t="str">
        <f>("027059")</f>
        <v>027059</v>
      </c>
      <c r="E16" t="str">
        <f>("622454270596")</f>
        <v>622454270596</v>
      </c>
      <c r="G16" t="s">
        <v>37</v>
      </c>
      <c r="H16" s="4">
        <v>239</v>
      </c>
      <c r="I16" t="s">
        <v>20</v>
      </c>
      <c r="J16" s="1">
        <v>46174</v>
      </c>
      <c r="K16">
        <v>0.46</v>
      </c>
      <c r="L16">
        <v>1.014</v>
      </c>
      <c r="M16">
        <v>20</v>
      </c>
      <c r="N16">
        <v>27</v>
      </c>
    </row>
    <row r="17" spans="1:14" x14ac:dyDescent="0.25">
      <c r="A17" t="s">
        <v>16</v>
      </c>
      <c r="B17" t="s">
        <v>17</v>
      </c>
      <c r="C17" t="s">
        <v>18</v>
      </c>
      <c r="D17" s="3" t="str">
        <f>("027060")</f>
        <v>027060</v>
      </c>
      <c r="E17" t="str">
        <f>("622454270602")</f>
        <v>622454270602</v>
      </c>
      <c r="G17" t="s">
        <v>38</v>
      </c>
      <c r="H17" s="4">
        <v>122</v>
      </c>
      <c r="I17" t="s">
        <v>20</v>
      </c>
      <c r="J17" s="1">
        <v>46174</v>
      </c>
      <c r="K17">
        <v>0.26</v>
      </c>
      <c r="L17">
        <v>0.57299999999999995</v>
      </c>
      <c r="M17">
        <v>20</v>
      </c>
      <c r="N17">
        <v>27</v>
      </c>
    </row>
    <row r="18" spans="1:14" x14ac:dyDescent="0.25">
      <c r="A18" t="s">
        <v>16</v>
      </c>
      <c r="B18" t="s">
        <v>17</v>
      </c>
      <c r="C18" t="s">
        <v>18</v>
      </c>
      <c r="D18" s="3" t="str">
        <f>("027061")</f>
        <v>027061</v>
      </c>
      <c r="E18" t="str">
        <f>("622454270619")</f>
        <v>622454270619</v>
      </c>
      <c r="F18" t="s">
        <v>39</v>
      </c>
      <c r="G18" t="s">
        <v>40</v>
      </c>
      <c r="H18" s="4">
        <v>105</v>
      </c>
      <c r="I18" t="s">
        <v>20</v>
      </c>
      <c r="J18" s="1">
        <v>46174</v>
      </c>
      <c r="K18">
        <v>0.25600000000000001</v>
      </c>
      <c r="L18">
        <v>0.56399999999999995</v>
      </c>
      <c r="M18">
        <v>25</v>
      </c>
      <c r="N18">
        <v>27</v>
      </c>
    </row>
    <row r="19" spans="1:14" x14ac:dyDescent="0.25">
      <c r="A19" t="s">
        <v>16</v>
      </c>
      <c r="B19" t="s">
        <v>17</v>
      </c>
      <c r="C19" t="s">
        <v>18</v>
      </c>
      <c r="D19" s="3" t="str">
        <f>("027062")</f>
        <v>027062</v>
      </c>
      <c r="E19" t="str">
        <f>("622454270626")</f>
        <v>622454270626</v>
      </c>
      <c r="G19" t="s">
        <v>41</v>
      </c>
      <c r="H19" s="4">
        <v>69</v>
      </c>
      <c r="I19" t="s">
        <v>20</v>
      </c>
      <c r="J19" s="1">
        <v>46174</v>
      </c>
      <c r="K19">
        <v>8.4000000000000005E-2</v>
      </c>
      <c r="L19">
        <v>0.185</v>
      </c>
      <c r="M19">
        <v>40</v>
      </c>
      <c r="N19">
        <v>27</v>
      </c>
    </row>
    <row r="20" spans="1:14" x14ac:dyDescent="0.25">
      <c r="A20" t="s">
        <v>16</v>
      </c>
      <c r="B20" t="s">
        <v>17</v>
      </c>
      <c r="C20" t="s">
        <v>18</v>
      </c>
      <c r="D20" s="3" t="str">
        <f>("027063")</f>
        <v>027063</v>
      </c>
      <c r="E20" t="str">
        <f>("622454270633")</f>
        <v>622454270633</v>
      </c>
      <c r="G20" t="s">
        <v>42</v>
      </c>
      <c r="H20" s="4">
        <v>217</v>
      </c>
      <c r="I20" t="s">
        <v>20</v>
      </c>
      <c r="J20" s="1">
        <v>46174</v>
      </c>
      <c r="K20">
        <v>0.126</v>
      </c>
      <c r="L20">
        <v>0.27800000000000002</v>
      </c>
      <c r="M20">
        <v>20</v>
      </c>
      <c r="N20">
        <v>27</v>
      </c>
    </row>
    <row r="21" spans="1:14" x14ac:dyDescent="0.25">
      <c r="A21" t="s">
        <v>16</v>
      </c>
      <c r="B21" t="s">
        <v>17</v>
      </c>
      <c r="C21" t="s">
        <v>18</v>
      </c>
      <c r="D21" s="3" t="str">
        <f>("027064")</f>
        <v>027064</v>
      </c>
      <c r="E21" t="str">
        <f>("622454270640")</f>
        <v>622454270640</v>
      </c>
      <c r="F21" t="s">
        <v>43</v>
      </c>
      <c r="G21" t="s">
        <v>44</v>
      </c>
      <c r="H21" s="4">
        <v>310</v>
      </c>
      <c r="I21" t="s">
        <v>20</v>
      </c>
      <c r="J21" s="1">
        <v>46174</v>
      </c>
      <c r="K21">
        <v>0.46200000000000002</v>
      </c>
      <c r="L21">
        <v>1.0189999999999999</v>
      </c>
      <c r="M21">
        <v>20</v>
      </c>
      <c r="N21">
        <v>27</v>
      </c>
    </row>
    <row r="22" spans="1:14" x14ac:dyDescent="0.25">
      <c r="A22" t="s">
        <v>16</v>
      </c>
      <c r="B22" t="s">
        <v>17</v>
      </c>
      <c r="C22" t="s">
        <v>18</v>
      </c>
      <c r="D22" s="3" t="str">
        <f>("027066")</f>
        <v>027066</v>
      </c>
      <c r="E22" t="str">
        <f>("622454270664")</f>
        <v>622454270664</v>
      </c>
      <c r="G22" t="s">
        <v>45</v>
      </c>
      <c r="H22" s="4">
        <v>368</v>
      </c>
      <c r="I22" t="s">
        <v>20</v>
      </c>
      <c r="J22" s="1">
        <v>46174</v>
      </c>
      <c r="K22">
        <v>0.63600000000000001</v>
      </c>
      <c r="L22">
        <v>1.4019999999999999</v>
      </c>
      <c r="M22">
        <v>15</v>
      </c>
      <c r="N22">
        <v>27</v>
      </c>
    </row>
    <row r="23" spans="1:14" x14ac:dyDescent="0.25">
      <c r="A23" t="s">
        <v>16</v>
      </c>
      <c r="B23" t="s">
        <v>17</v>
      </c>
      <c r="C23" t="s">
        <v>18</v>
      </c>
      <c r="D23" s="3" t="str">
        <f>("027071")</f>
        <v>027071</v>
      </c>
      <c r="E23" t="str">
        <f>("622454270718")</f>
        <v>622454270718</v>
      </c>
      <c r="G23" t="s">
        <v>46</v>
      </c>
      <c r="H23" s="4">
        <v>318</v>
      </c>
      <c r="I23" t="s">
        <v>20</v>
      </c>
      <c r="J23" s="1">
        <v>46174</v>
      </c>
      <c r="K23">
        <v>0.496</v>
      </c>
      <c r="L23">
        <v>1.093</v>
      </c>
      <c r="M23">
        <v>10</v>
      </c>
      <c r="N23">
        <v>27</v>
      </c>
    </row>
    <row r="24" spans="1:14" x14ac:dyDescent="0.25">
      <c r="A24" t="s">
        <v>16</v>
      </c>
      <c r="B24" t="s">
        <v>17</v>
      </c>
      <c r="C24" t="s">
        <v>18</v>
      </c>
      <c r="D24" s="3" t="str">
        <f>("027072")</f>
        <v>027072</v>
      </c>
      <c r="E24" t="str">
        <f>("622454270725")</f>
        <v>622454270725</v>
      </c>
      <c r="G24" t="s">
        <v>47</v>
      </c>
      <c r="H24" s="4">
        <v>318</v>
      </c>
      <c r="I24" t="s">
        <v>20</v>
      </c>
      <c r="J24" s="1">
        <v>46174</v>
      </c>
      <c r="K24">
        <v>0.496</v>
      </c>
      <c r="L24">
        <v>1.093</v>
      </c>
      <c r="M24">
        <v>10</v>
      </c>
      <c r="N24">
        <v>27</v>
      </c>
    </row>
    <row r="25" spans="1:14" x14ac:dyDescent="0.25">
      <c r="A25" t="s">
        <v>16</v>
      </c>
      <c r="B25" t="s">
        <v>17</v>
      </c>
      <c r="C25" t="s">
        <v>18</v>
      </c>
      <c r="D25" s="3" t="str">
        <f>("027073")</f>
        <v>027073</v>
      </c>
      <c r="E25" t="str">
        <f>("622454270732")</f>
        <v>622454270732</v>
      </c>
      <c r="G25" t="s">
        <v>48</v>
      </c>
      <c r="H25" s="4">
        <v>318</v>
      </c>
      <c r="I25" t="s">
        <v>20</v>
      </c>
      <c r="J25" s="1">
        <v>46174</v>
      </c>
      <c r="K25">
        <v>0.49099999999999999</v>
      </c>
      <c r="L25">
        <v>1.0820000000000001</v>
      </c>
      <c r="M25">
        <v>10</v>
      </c>
      <c r="N25">
        <v>27</v>
      </c>
    </row>
    <row r="26" spans="1:14" x14ac:dyDescent="0.25">
      <c r="A26" t="s">
        <v>16</v>
      </c>
      <c r="B26" t="s">
        <v>17</v>
      </c>
      <c r="C26" t="s">
        <v>18</v>
      </c>
      <c r="D26" s="3" t="str">
        <f>("027074")</f>
        <v>027074</v>
      </c>
      <c r="E26" t="str">
        <f>("622454270749")</f>
        <v>622454270749</v>
      </c>
      <c r="G26" t="s">
        <v>49</v>
      </c>
      <c r="H26" s="4">
        <v>318</v>
      </c>
      <c r="I26" t="s">
        <v>20</v>
      </c>
      <c r="J26" s="1">
        <v>46174</v>
      </c>
      <c r="K26">
        <v>0.5</v>
      </c>
      <c r="L26">
        <v>1.1020000000000001</v>
      </c>
      <c r="M26">
        <v>10</v>
      </c>
      <c r="N26">
        <v>27</v>
      </c>
    </row>
    <row r="27" spans="1:14" x14ac:dyDescent="0.25">
      <c r="A27" t="s">
        <v>16</v>
      </c>
      <c r="B27" t="s">
        <v>17</v>
      </c>
      <c r="C27" t="s">
        <v>18</v>
      </c>
      <c r="D27" s="3" t="str">
        <f>("027079")</f>
        <v>027079</v>
      </c>
      <c r="E27" t="str">
        <f>("622454270794")</f>
        <v>622454270794</v>
      </c>
      <c r="G27" t="s">
        <v>50</v>
      </c>
      <c r="H27" s="4">
        <v>67</v>
      </c>
      <c r="I27" t="s">
        <v>20</v>
      </c>
      <c r="J27" s="1">
        <v>46174</v>
      </c>
      <c r="K27">
        <v>7.1999999999999995E-2</v>
      </c>
      <c r="L27">
        <v>0.159</v>
      </c>
      <c r="M27">
        <v>50</v>
      </c>
      <c r="N27">
        <v>27</v>
      </c>
    </row>
    <row r="28" spans="1:14" x14ac:dyDescent="0.25">
      <c r="A28" t="s">
        <v>16</v>
      </c>
      <c r="B28" t="s">
        <v>17</v>
      </c>
      <c r="C28" t="s">
        <v>18</v>
      </c>
      <c r="D28" s="3" t="str">
        <f>("027081")</f>
        <v>027081</v>
      </c>
      <c r="E28" t="str">
        <f>("622454270817")</f>
        <v>622454270817</v>
      </c>
      <c r="F28" t="s">
        <v>51</v>
      </c>
      <c r="G28" t="s">
        <v>52</v>
      </c>
      <c r="H28" s="4">
        <v>35.75</v>
      </c>
      <c r="I28" t="s">
        <v>20</v>
      </c>
      <c r="J28" s="1">
        <v>46174</v>
      </c>
      <c r="K28">
        <v>8.3000000000000004E-2</v>
      </c>
      <c r="L28">
        <v>0.183</v>
      </c>
      <c r="M28">
        <v>90</v>
      </c>
      <c r="N28">
        <v>27</v>
      </c>
    </row>
    <row r="29" spans="1:14" x14ac:dyDescent="0.25">
      <c r="A29" t="s">
        <v>16</v>
      </c>
      <c r="B29" t="s">
        <v>17</v>
      </c>
      <c r="C29" t="s">
        <v>18</v>
      </c>
      <c r="D29" s="3" t="str">
        <f>("027082")</f>
        <v>027082</v>
      </c>
      <c r="E29" t="str">
        <f>("622454270824")</f>
        <v>622454270824</v>
      </c>
      <c r="F29" t="s">
        <v>53</v>
      </c>
      <c r="G29" t="s">
        <v>54</v>
      </c>
      <c r="H29" s="4">
        <v>79</v>
      </c>
      <c r="I29" t="s">
        <v>20</v>
      </c>
      <c r="J29" s="1">
        <v>46174</v>
      </c>
      <c r="K29">
        <v>0.127</v>
      </c>
      <c r="L29">
        <v>0.28000000000000003</v>
      </c>
      <c r="M29">
        <v>45</v>
      </c>
      <c r="N29">
        <v>27</v>
      </c>
    </row>
    <row r="30" spans="1:14" x14ac:dyDescent="0.25">
      <c r="A30" t="s">
        <v>16</v>
      </c>
      <c r="B30" t="s">
        <v>17</v>
      </c>
      <c r="C30" t="s">
        <v>18</v>
      </c>
      <c r="D30" s="3" t="str">
        <f>("027083")</f>
        <v>027083</v>
      </c>
      <c r="E30" t="str">
        <f>("622454270831")</f>
        <v>622454270831</v>
      </c>
      <c r="F30" t="s">
        <v>55</v>
      </c>
      <c r="G30" t="s">
        <v>56</v>
      </c>
      <c r="H30" s="4">
        <v>152</v>
      </c>
      <c r="I30" t="s">
        <v>20</v>
      </c>
      <c r="J30" s="1">
        <v>46174</v>
      </c>
      <c r="K30">
        <v>0.45800000000000002</v>
      </c>
      <c r="L30">
        <v>1.01</v>
      </c>
      <c r="M30">
        <v>20</v>
      </c>
      <c r="N30">
        <v>27</v>
      </c>
    </row>
    <row r="31" spans="1:14" x14ac:dyDescent="0.25">
      <c r="A31" t="s">
        <v>16</v>
      </c>
      <c r="B31" t="s">
        <v>17</v>
      </c>
      <c r="C31" t="s">
        <v>18</v>
      </c>
      <c r="D31" s="3" t="str">
        <f>("027084")</f>
        <v>027084</v>
      </c>
      <c r="E31" t="str">
        <f>("622454270848")</f>
        <v>622454270848</v>
      </c>
      <c r="F31" t="s">
        <v>57</v>
      </c>
      <c r="G31" t="s">
        <v>58</v>
      </c>
      <c r="H31" s="4">
        <v>353</v>
      </c>
      <c r="I31" t="s">
        <v>20</v>
      </c>
      <c r="J31" s="1">
        <v>46174</v>
      </c>
      <c r="K31">
        <v>0.73699999999999999</v>
      </c>
      <c r="L31">
        <v>1.625</v>
      </c>
      <c r="M31">
        <v>12</v>
      </c>
      <c r="N31">
        <v>27</v>
      </c>
    </row>
    <row r="32" spans="1:14" x14ac:dyDescent="0.25">
      <c r="A32" t="s">
        <v>16</v>
      </c>
      <c r="B32" t="s">
        <v>17</v>
      </c>
      <c r="C32" t="s">
        <v>18</v>
      </c>
      <c r="D32" s="3" t="str">
        <f>("027085")</f>
        <v>027085</v>
      </c>
      <c r="E32" t="str">
        <f>("622454270855")</f>
        <v>622454270855</v>
      </c>
      <c r="G32" t="s">
        <v>59</v>
      </c>
      <c r="H32" s="4">
        <v>1521</v>
      </c>
      <c r="I32" t="s">
        <v>20</v>
      </c>
      <c r="J32" s="1">
        <v>46174</v>
      </c>
      <c r="K32">
        <v>2.0249999999999999</v>
      </c>
      <c r="L32">
        <v>4.4640000000000004</v>
      </c>
      <c r="M32">
        <v>3</v>
      </c>
      <c r="N32">
        <v>27</v>
      </c>
    </row>
    <row r="33" spans="1:14" x14ac:dyDescent="0.25">
      <c r="A33" t="s">
        <v>16</v>
      </c>
      <c r="B33" t="s">
        <v>17</v>
      </c>
      <c r="C33" t="s">
        <v>18</v>
      </c>
      <c r="D33" s="3" t="str">
        <f>("027094")</f>
        <v>027094</v>
      </c>
      <c r="E33" t="str">
        <f>("622454270947")</f>
        <v>622454270947</v>
      </c>
      <c r="G33" t="s">
        <v>60</v>
      </c>
      <c r="H33" s="4">
        <v>267</v>
      </c>
      <c r="I33" t="s">
        <v>20</v>
      </c>
      <c r="J33" s="1">
        <v>46174</v>
      </c>
      <c r="K33">
        <v>0.58899999999999997</v>
      </c>
      <c r="L33">
        <v>1.2989999999999999</v>
      </c>
      <c r="M33">
        <v>5</v>
      </c>
      <c r="N33">
        <v>27</v>
      </c>
    </row>
    <row r="34" spans="1:14" x14ac:dyDescent="0.25">
      <c r="A34" t="s">
        <v>16</v>
      </c>
      <c r="B34" t="s">
        <v>17</v>
      </c>
      <c r="C34" t="s">
        <v>18</v>
      </c>
      <c r="D34" s="3" t="str">
        <f>("027095")</f>
        <v>027095</v>
      </c>
      <c r="E34" t="str">
        <f>("622454270954")</f>
        <v>622454270954</v>
      </c>
      <c r="G34" t="s">
        <v>61</v>
      </c>
      <c r="H34" s="4">
        <v>1025</v>
      </c>
      <c r="I34" t="s">
        <v>20</v>
      </c>
      <c r="J34" s="1">
        <v>46174</v>
      </c>
      <c r="K34">
        <v>1.048</v>
      </c>
      <c r="L34">
        <v>2.31</v>
      </c>
      <c r="M34">
        <v>8</v>
      </c>
      <c r="N34">
        <v>27</v>
      </c>
    </row>
    <row r="35" spans="1:14" x14ac:dyDescent="0.25">
      <c r="A35" t="s">
        <v>16</v>
      </c>
      <c r="B35" t="s">
        <v>17</v>
      </c>
      <c r="C35" t="s">
        <v>18</v>
      </c>
      <c r="D35" s="3" t="str">
        <f>("027096")</f>
        <v>027096</v>
      </c>
      <c r="E35" t="str">
        <f>("622454270961")</f>
        <v>622454270961</v>
      </c>
      <c r="G35" t="s">
        <v>62</v>
      </c>
      <c r="H35" s="4">
        <v>168</v>
      </c>
      <c r="I35" t="s">
        <v>20</v>
      </c>
      <c r="J35" s="1">
        <v>46174</v>
      </c>
      <c r="K35">
        <v>0.2</v>
      </c>
      <c r="L35">
        <v>0.441</v>
      </c>
      <c r="M35">
        <v>10</v>
      </c>
      <c r="N35">
        <v>27</v>
      </c>
    </row>
    <row r="36" spans="1:14" x14ac:dyDescent="0.25">
      <c r="A36" t="s">
        <v>16</v>
      </c>
      <c r="B36" t="s">
        <v>17</v>
      </c>
      <c r="C36" t="s">
        <v>18</v>
      </c>
      <c r="D36" s="3" t="str">
        <f>("027097")</f>
        <v>027097</v>
      </c>
      <c r="E36" t="str">
        <f>("622454270978")</f>
        <v>622454270978</v>
      </c>
      <c r="G36" t="s">
        <v>63</v>
      </c>
      <c r="H36" s="4">
        <v>113</v>
      </c>
      <c r="I36" t="s">
        <v>20</v>
      </c>
      <c r="J36" s="1">
        <v>46174</v>
      </c>
      <c r="K36">
        <v>0.123</v>
      </c>
      <c r="L36">
        <v>0.27100000000000002</v>
      </c>
      <c r="M36">
        <v>15</v>
      </c>
      <c r="N36">
        <v>27</v>
      </c>
    </row>
    <row r="37" spans="1:14" x14ac:dyDescent="0.25">
      <c r="A37" t="s">
        <v>16</v>
      </c>
      <c r="B37" t="s">
        <v>17</v>
      </c>
      <c r="C37" t="s">
        <v>18</v>
      </c>
      <c r="D37" s="3" t="str">
        <f>("027098")</f>
        <v>027098</v>
      </c>
      <c r="E37" t="str">
        <f>("622454270985")</f>
        <v>622454270985</v>
      </c>
      <c r="G37" t="s">
        <v>64</v>
      </c>
      <c r="H37" s="4">
        <v>192</v>
      </c>
      <c r="I37" t="s">
        <v>20</v>
      </c>
      <c r="J37" s="1">
        <v>46174</v>
      </c>
      <c r="K37">
        <v>0.16</v>
      </c>
      <c r="L37">
        <v>0.35299999999999998</v>
      </c>
      <c r="M37">
        <v>20</v>
      </c>
      <c r="N37">
        <v>27</v>
      </c>
    </row>
    <row r="38" spans="1:14" x14ac:dyDescent="0.25">
      <c r="A38" t="s">
        <v>16</v>
      </c>
      <c r="B38" t="s">
        <v>17</v>
      </c>
      <c r="C38" t="s">
        <v>18</v>
      </c>
      <c r="D38" s="3" t="str">
        <f>("027099")</f>
        <v>027099</v>
      </c>
      <c r="E38" t="str">
        <f>("622454270992")</f>
        <v>622454270992</v>
      </c>
      <c r="G38" t="s">
        <v>65</v>
      </c>
      <c r="H38" s="4">
        <v>232</v>
      </c>
      <c r="I38" t="s">
        <v>20</v>
      </c>
      <c r="J38" s="1">
        <v>46174</v>
      </c>
      <c r="K38">
        <v>0.28699999999999998</v>
      </c>
      <c r="L38">
        <v>0.63300000000000001</v>
      </c>
      <c r="M38">
        <v>15</v>
      </c>
      <c r="N38">
        <v>27</v>
      </c>
    </row>
    <row r="39" spans="1:14" x14ac:dyDescent="0.25">
      <c r="A39" t="s">
        <v>16</v>
      </c>
      <c r="B39" t="s">
        <v>17</v>
      </c>
      <c r="C39" t="s">
        <v>18</v>
      </c>
      <c r="D39" s="3" t="str">
        <f>("027100")</f>
        <v>027100</v>
      </c>
      <c r="E39" t="str">
        <f>("622454271005")</f>
        <v>622454271005</v>
      </c>
      <c r="G39" t="s">
        <v>66</v>
      </c>
      <c r="H39" s="4">
        <v>242</v>
      </c>
      <c r="I39" t="s">
        <v>20</v>
      </c>
      <c r="J39" s="1">
        <v>46174</v>
      </c>
      <c r="K39">
        <v>0.35799999999999998</v>
      </c>
      <c r="L39">
        <v>0.78900000000000003</v>
      </c>
      <c r="M39">
        <v>15</v>
      </c>
      <c r="N39">
        <v>27</v>
      </c>
    </row>
    <row r="40" spans="1:14" x14ac:dyDescent="0.25">
      <c r="A40" t="s">
        <v>16</v>
      </c>
      <c r="B40" t="s">
        <v>17</v>
      </c>
      <c r="C40" t="s">
        <v>18</v>
      </c>
      <c r="D40" s="3" t="str">
        <f>("027111")</f>
        <v>027111</v>
      </c>
      <c r="E40" t="str">
        <f>("622454271111")</f>
        <v>622454271111</v>
      </c>
      <c r="F40" t="s">
        <v>67</v>
      </c>
      <c r="G40" t="s">
        <v>68</v>
      </c>
      <c r="H40" s="4">
        <v>44.4</v>
      </c>
      <c r="I40" t="s">
        <v>20</v>
      </c>
      <c r="J40" s="1">
        <v>46174</v>
      </c>
      <c r="K40">
        <v>5.5E-2</v>
      </c>
      <c r="L40">
        <v>0.121</v>
      </c>
      <c r="M40">
        <v>60</v>
      </c>
      <c r="N40">
        <v>27</v>
      </c>
    </row>
    <row r="41" spans="1:14" x14ac:dyDescent="0.25">
      <c r="A41" t="s">
        <v>16</v>
      </c>
      <c r="B41" t="s">
        <v>17</v>
      </c>
      <c r="C41" t="s">
        <v>18</v>
      </c>
      <c r="D41" s="3" t="str">
        <f>("027113")</f>
        <v>027113</v>
      </c>
      <c r="E41" t="str">
        <f>("622454271135")</f>
        <v>622454271135</v>
      </c>
      <c r="F41" t="s">
        <v>69</v>
      </c>
      <c r="G41" t="s">
        <v>70</v>
      </c>
      <c r="H41" s="4">
        <v>131</v>
      </c>
      <c r="I41" t="s">
        <v>20</v>
      </c>
      <c r="J41" s="1">
        <v>46174</v>
      </c>
      <c r="K41">
        <v>0.29099999999999998</v>
      </c>
      <c r="L41">
        <v>0.64200000000000002</v>
      </c>
      <c r="M41">
        <v>30</v>
      </c>
      <c r="N41">
        <v>27</v>
      </c>
    </row>
    <row r="42" spans="1:14" x14ac:dyDescent="0.25">
      <c r="A42" t="s">
        <v>16</v>
      </c>
      <c r="B42" t="s">
        <v>17</v>
      </c>
      <c r="C42" t="s">
        <v>18</v>
      </c>
      <c r="D42" s="3" t="str">
        <f>("027120")</f>
        <v>027120</v>
      </c>
      <c r="E42" t="str">
        <f>("622454271203")</f>
        <v>622454271203</v>
      </c>
      <c r="F42" t="s">
        <v>71</v>
      </c>
      <c r="G42" t="s">
        <v>72</v>
      </c>
      <c r="H42" s="4">
        <v>56</v>
      </c>
      <c r="I42" t="s">
        <v>20</v>
      </c>
      <c r="J42" s="1">
        <v>46174</v>
      </c>
      <c r="K42">
        <v>5.2999999999999999E-2</v>
      </c>
      <c r="L42">
        <v>0.11700000000000001</v>
      </c>
      <c r="M42">
        <v>75</v>
      </c>
      <c r="N42">
        <v>27</v>
      </c>
    </row>
    <row r="43" spans="1:14" x14ac:dyDescent="0.25">
      <c r="A43" t="s">
        <v>16</v>
      </c>
      <c r="B43" t="s">
        <v>17</v>
      </c>
      <c r="C43" t="s">
        <v>18</v>
      </c>
      <c r="D43" s="3" t="str">
        <f>("027121")</f>
        <v>027121</v>
      </c>
      <c r="E43" t="str">
        <f>("622454271210")</f>
        <v>622454271210</v>
      </c>
      <c r="F43" t="s">
        <v>73</v>
      </c>
      <c r="G43" t="s">
        <v>74</v>
      </c>
      <c r="H43" s="4">
        <v>24.7</v>
      </c>
      <c r="I43" t="s">
        <v>20</v>
      </c>
      <c r="J43" s="1">
        <v>46174</v>
      </c>
      <c r="K43">
        <v>6.2E-2</v>
      </c>
      <c r="L43">
        <v>0.13700000000000001</v>
      </c>
      <c r="M43">
        <v>125</v>
      </c>
      <c r="N43">
        <v>27</v>
      </c>
    </row>
    <row r="44" spans="1:14" x14ac:dyDescent="0.25">
      <c r="A44" t="s">
        <v>16</v>
      </c>
      <c r="B44" t="s">
        <v>17</v>
      </c>
      <c r="C44" t="s">
        <v>18</v>
      </c>
      <c r="D44" s="3" t="str">
        <f>("027122")</f>
        <v>027122</v>
      </c>
      <c r="E44" t="str">
        <f>("622454271227")</f>
        <v>622454271227</v>
      </c>
      <c r="F44" t="s">
        <v>75</v>
      </c>
      <c r="G44" t="s">
        <v>76</v>
      </c>
      <c r="H44" s="4">
        <v>39.5</v>
      </c>
      <c r="I44" t="s">
        <v>20</v>
      </c>
      <c r="J44" s="1">
        <v>46174</v>
      </c>
      <c r="K44">
        <v>8.2000000000000003E-2</v>
      </c>
      <c r="L44">
        <v>0.18099999999999999</v>
      </c>
      <c r="M44">
        <v>50</v>
      </c>
      <c r="N44">
        <v>27</v>
      </c>
    </row>
    <row r="45" spans="1:14" x14ac:dyDescent="0.25">
      <c r="A45" t="s">
        <v>16</v>
      </c>
      <c r="B45" t="s">
        <v>17</v>
      </c>
      <c r="C45" t="s">
        <v>18</v>
      </c>
      <c r="D45" s="3" t="str">
        <f>("027123")</f>
        <v>027123</v>
      </c>
      <c r="E45" t="str">
        <f>("622454271234")</f>
        <v>622454271234</v>
      </c>
      <c r="F45" t="s">
        <v>77</v>
      </c>
      <c r="G45" t="s">
        <v>78</v>
      </c>
      <c r="H45" s="4">
        <v>115</v>
      </c>
      <c r="I45" t="s">
        <v>20</v>
      </c>
      <c r="J45" s="1">
        <v>46174</v>
      </c>
      <c r="K45">
        <v>0.33</v>
      </c>
      <c r="L45">
        <v>0.72799999999999998</v>
      </c>
      <c r="M45">
        <v>20</v>
      </c>
      <c r="N45">
        <v>27</v>
      </c>
    </row>
    <row r="46" spans="1:14" x14ac:dyDescent="0.25">
      <c r="A46" t="s">
        <v>16</v>
      </c>
      <c r="B46" t="s">
        <v>17</v>
      </c>
      <c r="C46" t="s">
        <v>18</v>
      </c>
      <c r="D46" s="3" t="str">
        <f>("027124")</f>
        <v>027124</v>
      </c>
      <c r="E46" t="str">
        <f>("622454271241")</f>
        <v>622454271241</v>
      </c>
      <c r="G46" t="s">
        <v>79</v>
      </c>
      <c r="H46" s="4">
        <v>269</v>
      </c>
      <c r="I46" t="s">
        <v>20</v>
      </c>
      <c r="J46" s="1">
        <v>46174</v>
      </c>
      <c r="K46">
        <v>0.60799999999999998</v>
      </c>
      <c r="L46">
        <v>1.34</v>
      </c>
      <c r="M46">
        <v>20</v>
      </c>
      <c r="N46">
        <v>27</v>
      </c>
    </row>
    <row r="47" spans="1:14" x14ac:dyDescent="0.25">
      <c r="A47" t="s">
        <v>16</v>
      </c>
      <c r="B47" t="s">
        <v>17</v>
      </c>
      <c r="C47" t="s">
        <v>18</v>
      </c>
      <c r="D47" s="3" t="str">
        <f>("027125")</f>
        <v>027125</v>
      </c>
      <c r="E47" t="str">
        <f>("622454271258")</f>
        <v>622454271258</v>
      </c>
      <c r="F47" t="s">
        <v>80</v>
      </c>
      <c r="G47" t="s">
        <v>81</v>
      </c>
      <c r="H47" s="4">
        <v>111</v>
      </c>
      <c r="I47" t="s">
        <v>20</v>
      </c>
      <c r="J47" s="1">
        <v>46174</v>
      </c>
      <c r="K47">
        <v>0.27500000000000002</v>
      </c>
      <c r="L47">
        <v>0.60599999999999998</v>
      </c>
      <c r="M47">
        <v>30</v>
      </c>
      <c r="N47">
        <v>27</v>
      </c>
    </row>
    <row r="48" spans="1:14" x14ac:dyDescent="0.25">
      <c r="A48" t="s">
        <v>16</v>
      </c>
      <c r="B48" t="s">
        <v>17</v>
      </c>
      <c r="C48" t="s">
        <v>18</v>
      </c>
      <c r="D48" s="3" t="str">
        <f>("027126")</f>
        <v>027126</v>
      </c>
      <c r="E48" t="str">
        <f>("622454271265")</f>
        <v>622454271265</v>
      </c>
      <c r="G48" t="s">
        <v>82</v>
      </c>
      <c r="H48" s="4">
        <v>1115</v>
      </c>
      <c r="I48" t="s">
        <v>20</v>
      </c>
      <c r="J48" s="1">
        <v>46174</v>
      </c>
      <c r="K48">
        <v>1.6639999999999999</v>
      </c>
      <c r="L48">
        <v>3.6680000000000001</v>
      </c>
      <c r="M48">
        <v>6</v>
      </c>
      <c r="N48">
        <v>27</v>
      </c>
    </row>
    <row r="49" spans="1:14" x14ac:dyDescent="0.25">
      <c r="A49" t="s">
        <v>16</v>
      </c>
      <c r="B49" t="s">
        <v>17</v>
      </c>
      <c r="C49" t="s">
        <v>18</v>
      </c>
      <c r="D49" s="3" t="str">
        <f>("027127")</f>
        <v>027127</v>
      </c>
      <c r="E49" t="str">
        <f>("622454271272")</f>
        <v>622454271272</v>
      </c>
      <c r="G49" t="s">
        <v>83</v>
      </c>
      <c r="H49" s="4">
        <v>309</v>
      </c>
      <c r="I49" t="s">
        <v>20</v>
      </c>
      <c r="J49" s="1">
        <v>46174</v>
      </c>
      <c r="K49">
        <v>0.44700000000000001</v>
      </c>
      <c r="L49">
        <v>0.98499999999999999</v>
      </c>
      <c r="M49">
        <v>20</v>
      </c>
      <c r="N49">
        <v>27</v>
      </c>
    </row>
    <row r="50" spans="1:14" x14ac:dyDescent="0.25">
      <c r="A50" t="s">
        <v>16</v>
      </c>
      <c r="B50" t="s">
        <v>17</v>
      </c>
      <c r="C50" t="s">
        <v>18</v>
      </c>
      <c r="D50" s="3" t="str">
        <f>("027131")</f>
        <v>027131</v>
      </c>
      <c r="E50" t="str">
        <f>("622454271319")</f>
        <v>622454271319</v>
      </c>
      <c r="F50" t="s">
        <v>84</v>
      </c>
      <c r="G50" t="s">
        <v>85</v>
      </c>
      <c r="H50" s="4">
        <v>32.1</v>
      </c>
      <c r="I50" t="s">
        <v>20</v>
      </c>
      <c r="J50" s="1">
        <v>46174</v>
      </c>
      <c r="K50">
        <v>6.5000000000000002E-2</v>
      </c>
      <c r="L50">
        <v>0.14299999999999999</v>
      </c>
      <c r="M50">
        <v>110</v>
      </c>
      <c r="N50">
        <v>27</v>
      </c>
    </row>
    <row r="51" spans="1:14" x14ac:dyDescent="0.25">
      <c r="A51" t="s">
        <v>16</v>
      </c>
      <c r="B51" t="s">
        <v>17</v>
      </c>
      <c r="C51" t="s">
        <v>18</v>
      </c>
      <c r="D51" s="3" t="str">
        <f>("027132")</f>
        <v>027132</v>
      </c>
      <c r="E51" t="str">
        <f>("622454271326")</f>
        <v>622454271326</v>
      </c>
      <c r="F51" t="s">
        <v>86</v>
      </c>
      <c r="G51" t="s">
        <v>87</v>
      </c>
      <c r="H51" s="4">
        <v>43.75</v>
      </c>
      <c r="I51" t="s">
        <v>20</v>
      </c>
      <c r="J51" s="1">
        <v>46174</v>
      </c>
      <c r="K51">
        <v>0.10100000000000001</v>
      </c>
      <c r="L51">
        <v>0.223</v>
      </c>
      <c r="M51">
        <v>50</v>
      </c>
      <c r="N51">
        <v>27</v>
      </c>
    </row>
    <row r="52" spans="1:14" x14ac:dyDescent="0.25">
      <c r="A52" t="s">
        <v>16</v>
      </c>
      <c r="B52" t="s">
        <v>17</v>
      </c>
      <c r="C52" t="s">
        <v>18</v>
      </c>
      <c r="D52" s="3" t="str">
        <f>("027134")</f>
        <v>027134</v>
      </c>
      <c r="E52" t="str">
        <f>("622454271340")</f>
        <v>622454271340</v>
      </c>
      <c r="F52" t="s">
        <v>88</v>
      </c>
      <c r="G52" t="s">
        <v>89</v>
      </c>
      <c r="H52" s="4">
        <v>228</v>
      </c>
      <c r="I52" t="s">
        <v>20</v>
      </c>
      <c r="J52" s="1">
        <v>46174</v>
      </c>
      <c r="K52">
        <v>0.51800000000000002</v>
      </c>
      <c r="L52">
        <v>1.1419999999999999</v>
      </c>
      <c r="M52">
        <v>12</v>
      </c>
      <c r="N52">
        <v>27</v>
      </c>
    </row>
    <row r="53" spans="1:14" x14ac:dyDescent="0.25">
      <c r="A53" t="s">
        <v>16</v>
      </c>
      <c r="B53" t="s">
        <v>17</v>
      </c>
      <c r="C53" t="s">
        <v>18</v>
      </c>
      <c r="D53" s="3" t="str">
        <f>("027144")</f>
        <v>027144</v>
      </c>
      <c r="E53" t="str">
        <f>("622454271449")</f>
        <v>622454271449</v>
      </c>
      <c r="G53" t="s">
        <v>90</v>
      </c>
      <c r="H53" s="4">
        <v>100</v>
      </c>
      <c r="I53" t="s">
        <v>20</v>
      </c>
      <c r="J53" s="1">
        <v>46174</v>
      </c>
      <c r="K53">
        <v>7.4999999999999997E-2</v>
      </c>
      <c r="L53">
        <v>0.16500000000000001</v>
      </c>
      <c r="M53">
        <v>50</v>
      </c>
      <c r="N53">
        <v>27</v>
      </c>
    </row>
    <row r="54" spans="1:14" x14ac:dyDescent="0.25">
      <c r="A54" t="s">
        <v>16</v>
      </c>
      <c r="B54" t="s">
        <v>17</v>
      </c>
      <c r="C54" t="s">
        <v>18</v>
      </c>
      <c r="D54" s="3" t="str">
        <f>("027145")</f>
        <v>027145</v>
      </c>
      <c r="E54" t="str">
        <f>("622454271456")</f>
        <v>622454271456</v>
      </c>
      <c r="G54" t="s">
        <v>91</v>
      </c>
      <c r="H54" s="4">
        <v>156</v>
      </c>
      <c r="I54" t="s">
        <v>20</v>
      </c>
      <c r="J54" s="1">
        <v>46174</v>
      </c>
      <c r="K54">
        <v>0.13600000000000001</v>
      </c>
      <c r="L54">
        <v>0.3</v>
      </c>
      <c r="M54">
        <v>45</v>
      </c>
      <c r="N54">
        <v>27</v>
      </c>
    </row>
    <row r="55" spans="1:14" x14ac:dyDescent="0.25">
      <c r="A55" t="s">
        <v>16</v>
      </c>
      <c r="B55" t="s">
        <v>17</v>
      </c>
      <c r="C55" t="s">
        <v>18</v>
      </c>
      <c r="D55" s="3" t="str">
        <f>("027146")</f>
        <v>027146</v>
      </c>
      <c r="E55" t="str">
        <f>("622454271463")</f>
        <v>622454271463</v>
      </c>
      <c r="G55" t="s">
        <v>92</v>
      </c>
      <c r="H55" s="4">
        <v>252</v>
      </c>
      <c r="I55" t="s">
        <v>20</v>
      </c>
      <c r="J55" s="1">
        <v>46174</v>
      </c>
      <c r="K55">
        <v>0.44</v>
      </c>
      <c r="L55">
        <v>0.97</v>
      </c>
      <c r="M55">
        <v>15</v>
      </c>
      <c r="N55">
        <v>27</v>
      </c>
    </row>
    <row r="56" spans="1:14" x14ac:dyDescent="0.25">
      <c r="A56" t="s">
        <v>16</v>
      </c>
      <c r="B56" t="s">
        <v>17</v>
      </c>
      <c r="C56" t="s">
        <v>18</v>
      </c>
      <c r="D56" s="3" t="str">
        <f>("027147")</f>
        <v>027147</v>
      </c>
      <c r="E56" t="str">
        <f>("622454271470")</f>
        <v>622454271470</v>
      </c>
      <c r="G56" t="s">
        <v>93</v>
      </c>
      <c r="H56" s="4">
        <v>553</v>
      </c>
      <c r="I56" t="s">
        <v>20</v>
      </c>
      <c r="J56" s="1">
        <v>46174</v>
      </c>
      <c r="K56">
        <v>0.752</v>
      </c>
      <c r="L56">
        <v>1.6579999999999999</v>
      </c>
      <c r="M56">
        <v>15</v>
      </c>
      <c r="N56">
        <v>27</v>
      </c>
    </row>
    <row r="57" spans="1:14" x14ac:dyDescent="0.25">
      <c r="A57" t="s">
        <v>16</v>
      </c>
      <c r="B57" t="s">
        <v>17</v>
      </c>
      <c r="C57" t="s">
        <v>18</v>
      </c>
      <c r="D57" s="3" t="str">
        <f>("027148")</f>
        <v>027148</v>
      </c>
      <c r="E57" t="str">
        <f>("622454271487")</f>
        <v>622454271487</v>
      </c>
      <c r="F57" t="s">
        <v>94</v>
      </c>
      <c r="G57" t="s">
        <v>95</v>
      </c>
      <c r="H57" s="4">
        <v>440</v>
      </c>
      <c r="I57" t="s">
        <v>20</v>
      </c>
      <c r="J57" s="1">
        <v>46174</v>
      </c>
      <c r="K57">
        <v>0.75</v>
      </c>
      <c r="L57">
        <v>1.653</v>
      </c>
      <c r="M57">
        <v>15</v>
      </c>
      <c r="N57">
        <v>27</v>
      </c>
    </row>
    <row r="58" spans="1:14" x14ac:dyDescent="0.25">
      <c r="A58" t="s">
        <v>16</v>
      </c>
      <c r="B58" t="s">
        <v>17</v>
      </c>
      <c r="C58" t="s">
        <v>18</v>
      </c>
      <c r="D58" s="3" t="str">
        <f>("027156")</f>
        <v>027156</v>
      </c>
      <c r="E58" t="str">
        <f>("622454271562")</f>
        <v>622454271562</v>
      </c>
      <c r="G58" t="s">
        <v>96</v>
      </c>
      <c r="H58" s="4">
        <v>71</v>
      </c>
      <c r="I58" t="s">
        <v>20</v>
      </c>
      <c r="J58" s="1">
        <v>46174</v>
      </c>
      <c r="K58">
        <v>9.5000000000000001E-2</v>
      </c>
      <c r="L58">
        <v>0.20899999999999999</v>
      </c>
      <c r="M58">
        <v>50</v>
      </c>
      <c r="N58">
        <v>27</v>
      </c>
    </row>
    <row r="59" spans="1:14" x14ac:dyDescent="0.25">
      <c r="A59" t="s">
        <v>16</v>
      </c>
      <c r="B59" t="s">
        <v>17</v>
      </c>
      <c r="C59" t="s">
        <v>18</v>
      </c>
      <c r="D59" s="3" t="str">
        <f>("027157")</f>
        <v>027157</v>
      </c>
      <c r="E59" t="str">
        <f>("622454271579")</f>
        <v>622454271579</v>
      </c>
      <c r="G59" t="s">
        <v>97</v>
      </c>
      <c r="H59" s="4">
        <v>128</v>
      </c>
      <c r="I59" t="s">
        <v>20</v>
      </c>
      <c r="J59" s="1">
        <v>46174</v>
      </c>
      <c r="K59">
        <v>0.13500000000000001</v>
      </c>
      <c r="L59">
        <v>0.29799999999999999</v>
      </c>
      <c r="M59">
        <v>45</v>
      </c>
      <c r="N59">
        <v>27</v>
      </c>
    </row>
    <row r="60" spans="1:14" x14ac:dyDescent="0.25">
      <c r="A60" t="s">
        <v>16</v>
      </c>
      <c r="B60" t="s">
        <v>17</v>
      </c>
      <c r="C60" t="s">
        <v>18</v>
      </c>
      <c r="D60" s="3" t="str">
        <f>("027158")</f>
        <v>027158</v>
      </c>
      <c r="E60" t="str">
        <f>("622454271586")</f>
        <v>622454271586</v>
      </c>
      <c r="G60" t="s">
        <v>98</v>
      </c>
      <c r="H60" s="4">
        <v>278</v>
      </c>
      <c r="I60" t="s">
        <v>20</v>
      </c>
      <c r="J60" s="1">
        <v>46174</v>
      </c>
      <c r="K60">
        <v>0.376</v>
      </c>
      <c r="L60">
        <v>0.82899999999999996</v>
      </c>
      <c r="M60">
        <v>15</v>
      </c>
      <c r="N60">
        <v>27</v>
      </c>
    </row>
    <row r="61" spans="1:14" x14ac:dyDescent="0.25">
      <c r="A61" t="s">
        <v>16</v>
      </c>
      <c r="B61" t="s">
        <v>17</v>
      </c>
      <c r="C61" t="s">
        <v>18</v>
      </c>
      <c r="D61" s="3" t="str">
        <f>("027161")</f>
        <v>027161</v>
      </c>
      <c r="E61" t="str">
        <f>("622454271616")</f>
        <v>622454271616</v>
      </c>
      <c r="F61" t="s">
        <v>99</v>
      </c>
      <c r="G61" t="s">
        <v>100</v>
      </c>
      <c r="H61" s="4">
        <v>100</v>
      </c>
      <c r="I61" t="s">
        <v>20</v>
      </c>
      <c r="J61" s="1">
        <v>46174</v>
      </c>
      <c r="K61">
        <v>7.0000000000000007E-2</v>
      </c>
      <c r="L61">
        <v>0.154</v>
      </c>
      <c r="M61">
        <v>50</v>
      </c>
      <c r="N61">
        <v>27</v>
      </c>
    </row>
    <row r="62" spans="1:14" x14ac:dyDescent="0.25">
      <c r="A62" t="s">
        <v>16</v>
      </c>
      <c r="B62" t="s">
        <v>17</v>
      </c>
      <c r="C62" t="s">
        <v>18</v>
      </c>
      <c r="D62" s="3" t="str">
        <f>("027166")</f>
        <v>027166</v>
      </c>
      <c r="E62" t="str">
        <f>("622454271661")</f>
        <v>622454271661</v>
      </c>
      <c r="G62" t="s">
        <v>101</v>
      </c>
      <c r="H62" s="4">
        <v>100</v>
      </c>
      <c r="I62" t="s">
        <v>20</v>
      </c>
      <c r="J62" s="1">
        <v>46174</v>
      </c>
      <c r="K62">
        <v>6.5000000000000002E-2</v>
      </c>
      <c r="L62">
        <v>0.14299999999999999</v>
      </c>
      <c r="M62">
        <v>50</v>
      </c>
      <c r="N62">
        <v>27</v>
      </c>
    </row>
    <row r="63" spans="1:14" x14ac:dyDescent="0.25">
      <c r="A63" t="s">
        <v>16</v>
      </c>
      <c r="B63" t="s">
        <v>17</v>
      </c>
      <c r="C63" t="s">
        <v>18</v>
      </c>
      <c r="D63" s="3" t="str">
        <f>("027170")</f>
        <v>027170</v>
      </c>
      <c r="E63" t="str">
        <f>("622454271708")</f>
        <v>622454271708</v>
      </c>
      <c r="G63" t="s">
        <v>102</v>
      </c>
      <c r="H63" s="4">
        <v>102</v>
      </c>
      <c r="I63" t="s">
        <v>20</v>
      </c>
      <c r="J63" s="1">
        <v>46174</v>
      </c>
      <c r="K63">
        <v>8.6999999999999994E-2</v>
      </c>
      <c r="L63">
        <v>0.192</v>
      </c>
      <c r="M63">
        <v>50</v>
      </c>
      <c r="N63">
        <v>27</v>
      </c>
    </row>
    <row r="64" spans="1:14" x14ac:dyDescent="0.25">
      <c r="A64" t="s">
        <v>16</v>
      </c>
      <c r="B64" t="s">
        <v>17</v>
      </c>
      <c r="C64" t="s">
        <v>18</v>
      </c>
      <c r="D64" s="3" t="str">
        <f>("027171")</f>
        <v>027171</v>
      </c>
      <c r="E64" t="str">
        <f>("622454271715")</f>
        <v>622454271715</v>
      </c>
      <c r="G64" t="s">
        <v>103</v>
      </c>
      <c r="H64" s="4">
        <v>44.3</v>
      </c>
      <c r="I64" t="s">
        <v>20</v>
      </c>
      <c r="J64" s="1">
        <v>46174</v>
      </c>
      <c r="K64">
        <v>0.108</v>
      </c>
      <c r="L64">
        <v>0.23799999999999999</v>
      </c>
      <c r="M64">
        <v>70</v>
      </c>
      <c r="N64">
        <v>27</v>
      </c>
    </row>
    <row r="65" spans="1:14" x14ac:dyDescent="0.25">
      <c r="A65" t="s">
        <v>16</v>
      </c>
      <c r="B65" t="s">
        <v>17</v>
      </c>
      <c r="C65" t="s">
        <v>18</v>
      </c>
      <c r="D65" s="3" t="str">
        <f>("027172")</f>
        <v>027172</v>
      </c>
      <c r="E65" t="str">
        <f>("622454271722")</f>
        <v>622454271722</v>
      </c>
      <c r="G65" t="s">
        <v>104</v>
      </c>
      <c r="H65" s="4">
        <v>85</v>
      </c>
      <c r="I65" t="s">
        <v>20</v>
      </c>
      <c r="J65" s="1">
        <v>46174</v>
      </c>
      <c r="K65">
        <v>0.129</v>
      </c>
      <c r="L65">
        <v>0.28399999999999997</v>
      </c>
      <c r="M65">
        <v>40</v>
      </c>
      <c r="N65">
        <v>27</v>
      </c>
    </row>
    <row r="66" spans="1:14" x14ac:dyDescent="0.25">
      <c r="A66" t="s">
        <v>16</v>
      </c>
      <c r="B66" t="s">
        <v>17</v>
      </c>
      <c r="C66" t="s">
        <v>18</v>
      </c>
      <c r="D66" s="3" t="str">
        <f>("027173")</f>
        <v>027173</v>
      </c>
      <c r="E66" t="str">
        <f>("622454271739")</f>
        <v>622454271739</v>
      </c>
      <c r="F66" t="s">
        <v>105</v>
      </c>
      <c r="G66" t="s">
        <v>106</v>
      </c>
      <c r="H66" s="4">
        <v>169</v>
      </c>
      <c r="I66" t="s">
        <v>20</v>
      </c>
      <c r="J66" s="1">
        <v>46174</v>
      </c>
      <c r="K66">
        <v>0.44900000000000001</v>
      </c>
      <c r="L66">
        <v>0.99</v>
      </c>
      <c r="M66">
        <v>20</v>
      </c>
      <c r="N66">
        <v>27</v>
      </c>
    </row>
    <row r="67" spans="1:14" x14ac:dyDescent="0.25">
      <c r="A67" t="s">
        <v>16</v>
      </c>
      <c r="B67" t="s">
        <v>17</v>
      </c>
      <c r="C67" t="s">
        <v>18</v>
      </c>
      <c r="D67" s="3" t="str">
        <f>("027174")</f>
        <v>027174</v>
      </c>
      <c r="E67" t="str">
        <f>("622454271746")</f>
        <v>622454271746</v>
      </c>
      <c r="F67" t="s">
        <v>107</v>
      </c>
      <c r="G67" t="s">
        <v>108</v>
      </c>
      <c r="H67" s="4">
        <v>355</v>
      </c>
      <c r="I67" t="s">
        <v>20</v>
      </c>
      <c r="J67" s="1">
        <v>46174</v>
      </c>
      <c r="K67">
        <v>0.86299999999999999</v>
      </c>
      <c r="L67">
        <v>1.903</v>
      </c>
      <c r="M67">
        <v>14</v>
      </c>
      <c r="N67">
        <v>27</v>
      </c>
    </row>
    <row r="68" spans="1:14" x14ac:dyDescent="0.25">
      <c r="A68" t="s">
        <v>16</v>
      </c>
      <c r="B68" t="s">
        <v>17</v>
      </c>
      <c r="C68" t="s">
        <v>18</v>
      </c>
      <c r="D68" s="3" t="str">
        <f>("027176")</f>
        <v>027176</v>
      </c>
      <c r="E68" t="str">
        <f>("622454271760")</f>
        <v>622454271760</v>
      </c>
      <c r="G68" t="s">
        <v>109</v>
      </c>
      <c r="H68" s="4">
        <v>1588</v>
      </c>
      <c r="I68" t="s">
        <v>20</v>
      </c>
      <c r="J68" s="1">
        <v>46174</v>
      </c>
      <c r="K68">
        <v>2.4540000000000002</v>
      </c>
      <c r="L68">
        <v>5.41</v>
      </c>
      <c r="M68">
        <v>2</v>
      </c>
      <c r="N68">
        <v>27</v>
      </c>
    </row>
    <row r="69" spans="1:14" x14ac:dyDescent="0.25">
      <c r="A69" t="s">
        <v>16</v>
      </c>
      <c r="B69" t="s">
        <v>17</v>
      </c>
      <c r="C69" t="s">
        <v>18</v>
      </c>
      <c r="D69" s="3" t="str">
        <f>("027191")</f>
        <v>027191</v>
      </c>
      <c r="E69" t="str">
        <f>("622454271913")</f>
        <v>622454271913</v>
      </c>
      <c r="G69" t="s">
        <v>110</v>
      </c>
      <c r="H69" s="4">
        <v>87</v>
      </c>
      <c r="I69" t="s">
        <v>20</v>
      </c>
      <c r="J69" s="1">
        <v>46174</v>
      </c>
      <c r="K69">
        <v>6.2E-2</v>
      </c>
      <c r="L69">
        <v>0.13700000000000001</v>
      </c>
      <c r="M69">
        <v>40</v>
      </c>
      <c r="N69">
        <v>27</v>
      </c>
    </row>
    <row r="70" spans="1:14" x14ac:dyDescent="0.25">
      <c r="A70" t="s">
        <v>16</v>
      </c>
      <c r="B70" t="s">
        <v>17</v>
      </c>
      <c r="C70" t="s">
        <v>18</v>
      </c>
      <c r="D70" s="3" t="str">
        <f>("027192")</f>
        <v>027192</v>
      </c>
      <c r="E70" t="str">
        <f>("622454271920")</f>
        <v>622454271920</v>
      </c>
      <c r="G70" t="s">
        <v>111</v>
      </c>
      <c r="H70" s="4">
        <v>79</v>
      </c>
      <c r="I70" t="s">
        <v>20</v>
      </c>
      <c r="J70" s="1">
        <v>46174</v>
      </c>
      <c r="K70">
        <v>6.7000000000000004E-2</v>
      </c>
      <c r="L70">
        <v>0.14799999999999999</v>
      </c>
      <c r="M70">
        <v>40</v>
      </c>
      <c r="N70">
        <v>27</v>
      </c>
    </row>
    <row r="71" spans="1:14" x14ac:dyDescent="0.25">
      <c r="A71" t="s">
        <v>16</v>
      </c>
      <c r="B71" t="s">
        <v>17</v>
      </c>
      <c r="C71" t="s">
        <v>18</v>
      </c>
      <c r="D71" s="3" t="str">
        <f>("027193")</f>
        <v>027193</v>
      </c>
      <c r="E71" t="str">
        <f>("622454271937")</f>
        <v>622454271937</v>
      </c>
      <c r="G71" t="s">
        <v>112</v>
      </c>
      <c r="H71" s="4">
        <v>63</v>
      </c>
      <c r="I71" t="s">
        <v>20</v>
      </c>
      <c r="J71" s="1">
        <v>46174</v>
      </c>
      <c r="K71">
        <v>9.5000000000000001E-2</v>
      </c>
      <c r="L71">
        <v>0.20899999999999999</v>
      </c>
      <c r="M71">
        <v>30</v>
      </c>
      <c r="N71">
        <v>27</v>
      </c>
    </row>
    <row r="72" spans="1:14" x14ac:dyDescent="0.25">
      <c r="A72" t="s">
        <v>16</v>
      </c>
      <c r="B72" t="s">
        <v>17</v>
      </c>
      <c r="C72" t="s">
        <v>18</v>
      </c>
      <c r="D72" s="3" t="str">
        <f>("027194")</f>
        <v>027194</v>
      </c>
      <c r="E72" t="str">
        <f>("622454271944")</f>
        <v>622454271944</v>
      </c>
      <c r="G72" t="s">
        <v>113</v>
      </c>
      <c r="H72" s="4">
        <v>102</v>
      </c>
      <c r="I72" t="s">
        <v>20</v>
      </c>
      <c r="J72" s="1">
        <v>46174</v>
      </c>
      <c r="K72">
        <v>0.16500000000000001</v>
      </c>
      <c r="L72">
        <v>0.36399999999999999</v>
      </c>
      <c r="M72">
        <v>25</v>
      </c>
      <c r="N72">
        <v>27</v>
      </c>
    </row>
    <row r="73" spans="1:14" x14ac:dyDescent="0.25">
      <c r="A73" t="s">
        <v>16</v>
      </c>
      <c r="B73" t="s">
        <v>17</v>
      </c>
      <c r="C73" t="s">
        <v>18</v>
      </c>
      <c r="D73" s="3" t="str">
        <f>("027195")</f>
        <v>027195</v>
      </c>
      <c r="E73" t="str">
        <f>("622454271951")</f>
        <v>622454271951</v>
      </c>
      <c r="G73" t="s">
        <v>114</v>
      </c>
      <c r="H73" s="4">
        <v>80</v>
      </c>
      <c r="I73" t="s">
        <v>20</v>
      </c>
      <c r="J73" s="1">
        <v>46174</v>
      </c>
      <c r="K73">
        <v>0.105</v>
      </c>
      <c r="L73">
        <v>0.23100000000000001</v>
      </c>
      <c r="M73">
        <v>30</v>
      </c>
      <c r="N73">
        <v>27</v>
      </c>
    </row>
    <row r="74" spans="1:14" x14ac:dyDescent="0.25">
      <c r="A74" t="s">
        <v>16</v>
      </c>
      <c r="B74" t="s">
        <v>17</v>
      </c>
      <c r="C74" t="s">
        <v>18</v>
      </c>
      <c r="D74" s="3" t="str">
        <f>("027196")</f>
        <v>027196</v>
      </c>
      <c r="E74" t="str">
        <f>("622454271968")</f>
        <v>622454271968</v>
      </c>
      <c r="F74" t="s">
        <v>115</v>
      </c>
      <c r="G74" t="s">
        <v>116</v>
      </c>
      <c r="H74" s="4">
        <v>132</v>
      </c>
      <c r="I74" t="s">
        <v>20</v>
      </c>
      <c r="J74" s="1">
        <v>46174</v>
      </c>
      <c r="K74">
        <v>0.30099999999999999</v>
      </c>
      <c r="L74">
        <v>0.66400000000000003</v>
      </c>
      <c r="M74">
        <v>20</v>
      </c>
      <c r="N74">
        <v>27</v>
      </c>
    </row>
    <row r="75" spans="1:14" x14ac:dyDescent="0.25">
      <c r="A75" t="s">
        <v>16</v>
      </c>
      <c r="B75" t="s">
        <v>17</v>
      </c>
      <c r="C75" t="s">
        <v>18</v>
      </c>
      <c r="D75" s="3" t="str">
        <f>("027197")</f>
        <v>027197</v>
      </c>
      <c r="E75" t="str">
        <f>("622454271975")</f>
        <v>622454271975</v>
      </c>
      <c r="F75" t="s">
        <v>117</v>
      </c>
      <c r="G75" t="s">
        <v>118</v>
      </c>
      <c r="H75" s="4">
        <v>323</v>
      </c>
      <c r="I75" t="s">
        <v>20</v>
      </c>
      <c r="J75" s="1">
        <v>46174</v>
      </c>
      <c r="K75">
        <v>0.65800000000000003</v>
      </c>
      <c r="L75">
        <v>1.4510000000000001</v>
      </c>
      <c r="M75">
        <v>15</v>
      </c>
      <c r="N75">
        <v>27</v>
      </c>
    </row>
    <row r="76" spans="1:14" x14ac:dyDescent="0.25">
      <c r="A76" t="s">
        <v>16</v>
      </c>
      <c r="B76" t="s">
        <v>17</v>
      </c>
      <c r="C76" t="s">
        <v>18</v>
      </c>
      <c r="D76" s="3" t="str">
        <f>("027198")</f>
        <v>027198</v>
      </c>
      <c r="E76" t="str">
        <f>("622454271982")</f>
        <v>622454271982</v>
      </c>
      <c r="G76" t="s">
        <v>119</v>
      </c>
      <c r="H76" s="4">
        <v>258</v>
      </c>
      <c r="I76" t="s">
        <v>20</v>
      </c>
      <c r="J76" s="1">
        <v>46174</v>
      </c>
      <c r="K76">
        <v>0.48</v>
      </c>
      <c r="L76">
        <v>1.0580000000000001</v>
      </c>
      <c r="M76">
        <v>20</v>
      </c>
      <c r="N76">
        <v>27</v>
      </c>
    </row>
    <row r="77" spans="1:14" x14ac:dyDescent="0.25">
      <c r="A77" t="s">
        <v>16</v>
      </c>
      <c r="B77" t="s">
        <v>17</v>
      </c>
      <c r="C77" t="s">
        <v>18</v>
      </c>
      <c r="D77" s="3" t="str">
        <f>("027199")</f>
        <v>027199</v>
      </c>
      <c r="E77" t="str">
        <f>("622454271999")</f>
        <v>622454271999</v>
      </c>
      <c r="G77" t="s">
        <v>120</v>
      </c>
      <c r="H77" s="4">
        <v>205</v>
      </c>
      <c r="I77" t="s">
        <v>20</v>
      </c>
      <c r="J77" s="1">
        <v>46174</v>
      </c>
      <c r="K77">
        <v>0.25900000000000001</v>
      </c>
      <c r="L77">
        <v>0.57099999999999995</v>
      </c>
      <c r="M77">
        <v>20</v>
      </c>
      <c r="N77">
        <v>27</v>
      </c>
    </row>
    <row r="78" spans="1:14" x14ac:dyDescent="0.25">
      <c r="A78" t="s">
        <v>16</v>
      </c>
      <c r="B78" t="s">
        <v>17</v>
      </c>
      <c r="C78" t="s">
        <v>18</v>
      </c>
      <c r="D78" s="3" t="str">
        <f>("027201")</f>
        <v>027201</v>
      </c>
      <c r="E78" t="str">
        <f>("622454272019")</f>
        <v>622454272019</v>
      </c>
      <c r="F78" t="s">
        <v>121</v>
      </c>
      <c r="G78" t="s">
        <v>122</v>
      </c>
      <c r="H78" s="4">
        <v>120</v>
      </c>
      <c r="I78" t="s">
        <v>20</v>
      </c>
      <c r="J78" s="1">
        <v>46174</v>
      </c>
      <c r="K78">
        <v>0.26600000000000001</v>
      </c>
      <c r="L78">
        <v>0.58599999999999997</v>
      </c>
      <c r="M78">
        <v>20</v>
      </c>
      <c r="N78">
        <v>27</v>
      </c>
    </row>
    <row r="79" spans="1:14" x14ac:dyDescent="0.25">
      <c r="A79" t="s">
        <v>16</v>
      </c>
      <c r="B79" t="s">
        <v>17</v>
      </c>
      <c r="C79" t="s">
        <v>18</v>
      </c>
      <c r="D79" s="3" t="str">
        <f>("027202")</f>
        <v>027202</v>
      </c>
      <c r="E79" t="str">
        <f>("622454272026")</f>
        <v>622454272026</v>
      </c>
      <c r="G79" t="s">
        <v>123</v>
      </c>
      <c r="H79" s="4">
        <v>1219</v>
      </c>
      <c r="I79" t="s">
        <v>20</v>
      </c>
      <c r="J79" s="1">
        <v>46174</v>
      </c>
      <c r="K79">
        <v>1.6950000000000001</v>
      </c>
      <c r="L79">
        <v>3.7370000000000001</v>
      </c>
      <c r="M79">
        <v>4</v>
      </c>
      <c r="N79">
        <v>27</v>
      </c>
    </row>
    <row r="80" spans="1:14" x14ac:dyDescent="0.25">
      <c r="A80" t="s">
        <v>16</v>
      </c>
      <c r="B80" t="s">
        <v>17</v>
      </c>
      <c r="C80" t="s">
        <v>18</v>
      </c>
      <c r="D80" s="3" t="str">
        <f>("027203")</f>
        <v>027203</v>
      </c>
      <c r="E80" t="str">
        <f>("622454272033")</f>
        <v>622454272033</v>
      </c>
      <c r="G80" t="s">
        <v>124</v>
      </c>
      <c r="H80" s="4">
        <v>120</v>
      </c>
      <c r="I80" t="s">
        <v>20</v>
      </c>
      <c r="J80" s="1">
        <v>46174</v>
      </c>
      <c r="K80">
        <v>7.2999999999999995E-2</v>
      </c>
      <c r="L80">
        <v>0.161</v>
      </c>
      <c r="M80">
        <v>40</v>
      </c>
      <c r="N80">
        <v>27</v>
      </c>
    </row>
    <row r="81" spans="1:14" x14ac:dyDescent="0.25">
      <c r="A81" t="s">
        <v>16</v>
      </c>
      <c r="B81" t="s">
        <v>17</v>
      </c>
      <c r="C81" t="s">
        <v>18</v>
      </c>
      <c r="D81" s="3" t="str">
        <f>("027206")</f>
        <v>027206</v>
      </c>
      <c r="E81" t="str">
        <f>("622454272064")</f>
        <v>622454272064</v>
      </c>
      <c r="G81" t="s">
        <v>125</v>
      </c>
      <c r="H81" s="4">
        <v>132</v>
      </c>
      <c r="I81" t="s">
        <v>20</v>
      </c>
      <c r="J81" s="1">
        <v>46174</v>
      </c>
      <c r="K81">
        <v>0.161</v>
      </c>
      <c r="L81">
        <v>0.35499999999999998</v>
      </c>
      <c r="M81">
        <v>30</v>
      </c>
      <c r="N81">
        <v>27</v>
      </c>
    </row>
    <row r="82" spans="1:14" x14ac:dyDescent="0.25">
      <c r="A82" t="s">
        <v>16</v>
      </c>
      <c r="B82" t="s">
        <v>17</v>
      </c>
      <c r="C82" t="s">
        <v>18</v>
      </c>
      <c r="D82" s="3" t="str">
        <f>("027207")</f>
        <v>027207</v>
      </c>
      <c r="E82" t="str">
        <f>("622454272071")</f>
        <v>622454272071</v>
      </c>
      <c r="F82" t="s">
        <v>126</v>
      </c>
      <c r="G82" t="s">
        <v>127</v>
      </c>
      <c r="H82" s="4">
        <v>208</v>
      </c>
      <c r="I82" t="s">
        <v>20</v>
      </c>
      <c r="J82" s="1">
        <v>46174</v>
      </c>
      <c r="K82">
        <v>0.24199999999999999</v>
      </c>
      <c r="L82">
        <v>0.53400000000000003</v>
      </c>
      <c r="M82">
        <v>20</v>
      </c>
      <c r="N82">
        <v>27</v>
      </c>
    </row>
    <row r="83" spans="1:14" x14ac:dyDescent="0.25">
      <c r="A83" t="s">
        <v>16</v>
      </c>
      <c r="B83" t="s">
        <v>17</v>
      </c>
      <c r="C83" t="s">
        <v>18</v>
      </c>
      <c r="D83" s="3" t="str">
        <f>("027208")</f>
        <v>027208</v>
      </c>
      <c r="E83" t="str">
        <f>("622454272088")</f>
        <v>622454272088</v>
      </c>
      <c r="G83" t="s">
        <v>128</v>
      </c>
      <c r="H83" s="4">
        <v>375</v>
      </c>
      <c r="I83" t="s">
        <v>20</v>
      </c>
      <c r="J83" s="1">
        <v>46174</v>
      </c>
      <c r="K83">
        <v>0.63200000000000001</v>
      </c>
      <c r="L83">
        <v>1.393</v>
      </c>
      <c r="M83">
        <v>15</v>
      </c>
      <c r="N83">
        <v>27</v>
      </c>
    </row>
    <row r="84" spans="1:14" x14ac:dyDescent="0.25">
      <c r="A84" t="s">
        <v>16</v>
      </c>
      <c r="B84" t="s">
        <v>17</v>
      </c>
      <c r="C84" t="s">
        <v>18</v>
      </c>
      <c r="D84" s="3" t="str">
        <f>("027209")</f>
        <v>027209</v>
      </c>
      <c r="E84" t="str">
        <f>("622454272095")</f>
        <v>622454272095</v>
      </c>
      <c r="G84" t="s">
        <v>129</v>
      </c>
      <c r="H84" s="4">
        <v>1047</v>
      </c>
      <c r="I84" t="s">
        <v>20</v>
      </c>
      <c r="J84" s="1">
        <v>46174</v>
      </c>
      <c r="K84">
        <v>1.27</v>
      </c>
      <c r="L84">
        <v>2.8</v>
      </c>
      <c r="M84">
        <v>5</v>
      </c>
      <c r="N84">
        <v>27</v>
      </c>
    </row>
    <row r="85" spans="1:14" x14ac:dyDescent="0.25">
      <c r="A85" t="s">
        <v>16</v>
      </c>
      <c r="B85" t="s">
        <v>17</v>
      </c>
      <c r="C85" t="s">
        <v>18</v>
      </c>
      <c r="D85" s="3" t="str">
        <f>("027212")</f>
        <v>027212</v>
      </c>
      <c r="E85" t="str">
        <f>("622454272125")</f>
        <v>622454272125</v>
      </c>
      <c r="G85" t="s">
        <v>130</v>
      </c>
      <c r="H85" s="4">
        <v>179</v>
      </c>
      <c r="I85" t="s">
        <v>20</v>
      </c>
      <c r="J85" s="1">
        <v>46174</v>
      </c>
      <c r="K85">
        <v>0.20799999999999999</v>
      </c>
      <c r="L85">
        <v>0.45900000000000002</v>
      </c>
      <c r="M85">
        <v>25</v>
      </c>
      <c r="N85">
        <v>27</v>
      </c>
    </row>
    <row r="86" spans="1:14" x14ac:dyDescent="0.25">
      <c r="A86" t="s">
        <v>16</v>
      </c>
      <c r="B86" t="s">
        <v>17</v>
      </c>
      <c r="C86" t="s">
        <v>18</v>
      </c>
      <c r="D86" s="3" t="str">
        <f>("027213")</f>
        <v>027213</v>
      </c>
      <c r="E86" t="str">
        <f>("622454272132")</f>
        <v>622454272132</v>
      </c>
      <c r="G86" t="s">
        <v>131</v>
      </c>
      <c r="H86" s="4">
        <v>311</v>
      </c>
      <c r="I86" t="s">
        <v>20</v>
      </c>
      <c r="J86" s="1">
        <v>46174</v>
      </c>
      <c r="K86">
        <v>0.40699999999999997</v>
      </c>
      <c r="L86">
        <v>0.89700000000000002</v>
      </c>
      <c r="M86">
        <v>10</v>
      </c>
      <c r="N86">
        <v>27</v>
      </c>
    </row>
    <row r="87" spans="1:14" x14ac:dyDescent="0.25">
      <c r="A87" t="s">
        <v>16</v>
      </c>
      <c r="B87" t="s">
        <v>17</v>
      </c>
      <c r="C87" t="s">
        <v>18</v>
      </c>
      <c r="D87" s="3" t="str">
        <f>("027214")</f>
        <v>027214</v>
      </c>
      <c r="E87" t="str">
        <f>("622454272149")</f>
        <v>622454272149</v>
      </c>
      <c r="G87" t="s">
        <v>132</v>
      </c>
      <c r="H87" s="4">
        <v>318</v>
      </c>
      <c r="I87" t="s">
        <v>20</v>
      </c>
      <c r="J87" s="1">
        <v>46174</v>
      </c>
      <c r="K87">
        <v>0.438</v>
      </c>
      <c r="L87">
        <v>0.96599999999999997</v>
      </c>
      <c r="M87">
        <v>15</v>
      </c>
      <c r="N87">
        <v>27</v>
      </c>
    </row>
    <row r="88" spans="1:14" x14ac:dyDescent="0.25">
      <c r="A88" t="s">
        <v>16</v>
      </c>
      <c r="B88" t="s">
        <v>17</v>
      </c>
      <c r="C88" t="s">
        <v>18</v>
      </c>
      <c r="D88" s="3" t="str">
        <f>("027215")</f>
        <v>027215</v>
      </c>
      <c r="E88" t="str">
        <f>("622454272156")</f>
        <v>622454272156</v>
      </c>
      <c r="G88" t="s">
        <v>133</v>
      </c>
      <c r="H88" s="4">
        <v>955</v>
      </c>
      <c r="I88" t="s">
        <v>20</v>
      </c>
      <c r="J88" s="1">
        <v>46174</v>
      </c>
      <c r="K88">
        <v>1.069</v>
      </c>
      <c r="L88">
        <v>2.3570000000000002</v>
      </c>
      <c r="M88">
        <v>8</v>
      </c>
      <c r="N88">
        <v>27</v>
      </c>
    </row>
    <row r="89" spans="1:14" x14ac:dyDescent="0.25">
      <c r="A89" t="s">
        <v>16</v>
      </c>
      <c r="B89" t="s">
        <v>17</v>
      </c>
      <c r="C89" t="s">
        <v>18</v>
      </c>
      <c r="D89" s="3" t="str">
        <f>("027216")</f>
        <v>027216</v>
      </c>
      <c r="E89" t="str">
        <f>("622454272163")</f>
        <v>622454272163</v>
      </c>
      <c r="G89" t="s">
        <v>134</v>
      </c>
      <c r="H89" s="4">
        <v>1249</v>
      </c>
      <c r="I89" t="s">
        <v>20</v>
      </c>
      <c r="J89" s="1">
        <v>46174</v>
      </c>
      <c r="K89">
        <v>0.66700000000000004</v>
      </c>
      <c r="L89">
        <v>1.47</v>
      </c>
      <c r="M89">
        <v>10</v>
      </c>
      <c r="N89">
        <v>27</v>
      </c>
    </row>
    <row r="90" spans="1:14" x14ac:dyDescent="0.25">
      <c r="A90" t="s">
        <v>16</v>
      </c>
      <c r="B90" t="s">
        <v>17</v>
      </c>
      <c r="C90" t="s">
        <v>18</v>
      </c>
      <c r="D90" s="3" t="str">
        <f>("027220")</f>
        <v>027220</v>
      </c>
      <c r="E90" t="str">
        <f>("622454272200")</f>
        <v>622454272200</v>
      </c>
      <c r="G90" t="s">
        <v>135</v>
      </c>
      <c r="H90" s="4">
        <v>39.5</v>
      </c>
      <c r="I90" t="s">
        <v>20</v>
      </c>
      <c r="J90" s="1">
        <v>46174</v>
      </c>
      <c r="K90">
        <v>3.2000000000000001E-2</v>
      </c>
      <c r="L90">
        <v>7.0999999999999994E-2</v>
      </c>
      <c r="M90">
        <v>100</v>
      </c>
      <c r="N90">
        <v>27</v>
      </c>
    </row>
    <row r="91" spans="1:14" x14ac:dyDescent="0.25">
      <c r="A91" t="s">
        <v>16</v>
      </c>
      <c r="B91" t="s">
        <v>17</v>
      </c>
      <c r="C91" t="s">
        <v>18</v>
      </c>
      <c r="D91" s="3" t="str">
        <f>("027221")</f>
        <v>027221</v>
      </c>
      <c r="E91" t="str">
        <f>("622454272217")</f>
        <v>622454272217</v>
      </c>
      <c r="F91" t="s">
        <v>136</v>
      </c>
      <c r="G91" t="s">
        <v>137</v>
      </c>
      <c r="H91" s="4">
        <v>20.399999999999999</v>
      </c>
      <c r="I91" t="s">
        <v>20</v>
      </c>
      <c r="J91" s="1">
        <v>46174</v>
      </c>
      <c r="K91">
        <v>3.6999999999999998E-2</v>
      </c>
      <c r="L91">
        <v>8.2000000000000003E-2</v>
      </c>
      <c r="M91">
        <v>125</v>
      </c>
      <c r="N91">
        <v>27</v>
      </c>
    </row>
    <row r="92" spans="1:14" x14ac:dyDescent="0.25">
      <c r="A92" t="s">
        <v>16</v>
      </c>
      <c r="B92" t="s">
        <v>17</v>
      </c>
      <c r="C92" t="s">
        <v>18</v>
      </c>
      <c r="D92" s="3" t="str">
        <f>("027222")</f>
        <v>027222</v>
      </c>
      <c r="E92" t="str">
        <f>("622454272224")</f>
        <v>622454272224</v>
      </c>
      <c r="F92" t="s">
        <v>138</v>
      </c>
      <c r="G92" t="s">
        <v>139</v>
      </c>
      <c r="H92" s="4">
        <v>40.1</v>
      </c>
      <c r="I92" t="s">
        <v>20</v>
      </c>
      <c r="J92" s="1">
        <v>46174</v>
      </c>
      <c r="K92">
        <v>5.7000000000000002E-2</v>
      </c>
      <c r="L92">
        <v>0.126</v>
      </c>
      <c r="M92">
        <v>50</v>
      </c>
      <c r="N92">
        <v>27</v>
      </c>
    </row>
    <row r="93" spans="1:14" x14ac:dyDescent="0.25">
      <c r="A93" t="s">
        <v>16</v>
      </c>
      <c r="B93" t="s">
        <v>17</v>
      </c>
      <c r="C93" t="s">
        <v>18</v>
      </c>
      <c r="D93" s="3" t="str">
        <f>("027223")</f>
        <v>027223</v>
      </c>
      <c r="E93" t="str">
        <f>("622454272231")</f>
        <v>622454272231</v>
      </c>
      <c r="F93" t="s">
        <v>140</v>
      </c>
      <c r="G93" t="s">
        <v>141</v>
      </c>
      <c r="H93" s="4">
        <v>97</v>
      </c>
      <c r="I93" t="s">
        <v>20</v>
      </c>
      <c r="J93" s="1">
        <v>46174</v>
      </c>
      <c r="K93">
        <v>0.20799999999999999</v>
      </c>
      <c r="L93">
        <v>0.45900000000000002</v>
      </c>
      <c r="M93">
        <v>25</v>
      </c>
      <c r="N93">
        <v>27</v>
      </c>
    </row>
    <row r="94" spans="1:14" x14ac:dyDescent="0.25">
      <c r="A94" t="s">
        <v>16</v>
      </c>
      <c r="B94" t="s">
        <v>17</v>
      </c>
      <c r="C94" t="s">
        <v>18</v>
      </c>
      <c r="D94" s="3" t="str">
        <f>("027224")</f>
        <v>027224</v>
      </c>
      <c r="E94" t="str">
        <f>("622454272248")</f>
        <v>622454272248</v>
      </c>
      <c r="G94" t="s">
        <v>142</v>
      </c>
      <c r="H94" s="4">
        <v>316</v>
      </c>
      <c r="I94" t="s">
        <v>20</v>
      </c>
      <c r="J94" s="1">
        <v>46174</v>
      </c>
      <c r="K94">
        <v>0.48899999999999999</v>
      </c>
      <c r="L94">
        <v>1.0780000000000001</v>
      </c>
      <c r="M94">
        <v>10</v>
      </c>
      <c r="N94">
        <v>27</v>
      </c>
    </row>
    <row r="95" spans="1:14" x14ac:dyDescent="0.25">
      <c r="A95" t="s">
        <v>16</v>
      </c>
      <c r="B95" t="s">
        <v>17</v>
      </c>
      <c r="C95" t="s">
        <v>18</v>
      </c>
      <c r="D95" s="3" t="str">
        <f>("027226")</f>
        <v>027226</v>
      </c>
      <c r="E95" t="str">
        <f>("622454272262")</f>
        <v>622454272262</v>
      </c>
      <c r="G95" t="s">
        <v>143</v>
      </c>
      <c r="H95" s="4">
        <v>1288</v>
      </c>
      <c r="I95" t="s">
        <v>20</v>
      </c>
      <c r="J95" s="1">
        <v>46174</v>
      </c>
      <c r="K95">
        <v>1.129</v>
      </c>
      <c r="L95">
        <v>2.4889999999999999</v>
      </c>
      <c r="M95">
        <v>8</v>
      </c>
      <c r="N95">
        <v>27</v>
      </c>
    </row>
    <row r="96" spans="1:14" x14ac:dyDescent="0.25">
      <c r="A96" t="s">
        <v>16</v>
      </c>
      <c r="B96" t="s">
        <v>17</v>
      </c>
      <c r="C96" t="s">
        <v>18</v>
      </c>
      <c r="D96" s="3" t="str">
        <f>("027227")</f>
        <v>027227</v>
      </c>
      <c r="E96" t="str">
        <f>("622454272279")</f>
        <v>622454272279</v>
      </c>
      <c r="F96" t="s">
        <v>144</v>
      </c>
      <c r="G96" t="s">
        <v>145</v>
      </c>
      <c r="H96" s="4">
        <v>264</v>
      </c>
      <c r="I96" t="s">
        <v>20</v>
      </c>
      <c r="J96" s="1">
        <v>46174</v>
      </c>
      <c r="K96">
        <v>0.33700000000000002</v>
      </c>
      <c r="L96">
        <v>0.74299999999999999</v>
      </c>
      <c r="M96">
        <v>25</v>
      </c>
      <c r="N96">
        <v>27</v>
      </c>
    </row>
    <row r="97" spans="1:14" x14ac:dyDescent="0.25">
      <c r="A97" t="s">
        <v>16</v>
      </c>
      <c r="B97" t="s">
        <v>17</v>
      </c>
      <c r="C97" t="s">
        <v>18</v>
      </c>
      <c r="D97" s="3" t="str">
        <f>("027230")</f>
        <v>027230</v>
      </c>
      <c r="E97" t="str">
        <f>("622454272309")</f>
        <v>622454272309</v>
      </c>
      <c r="G97" t="s">
        <v>146</v>
      </c>
      <c r="H97" s="4">
        <v>62</v>
      </c>
      <c r="I97" t="s">
        <v>20</v>
      </c>
      <c r="J97" s="1">
        <v>46174</v>
      </c>
      <c r="K97">
        <v>4.9000000000000002E-2</v>
      </c>
      <c r="L97">
        <v>0.108</v>
      </c>
      <c r="M97">
        <v>75</v>
      </c>
      <c r="N97">
        <v>27</v>
      </c>
    </row>
    <row r="98" spans="1:14" x14ac:dyDescent="0.25">
      <c r="A98" t="s">
        <v>16</v>
      </c>
      <c r="B98" t="s">
        <v>17</v>
      </c>
      <c r="C98" t="s">
        <v>18</v>
      </c>
      <c r="D98" s="3" t="str">
        <f>("027231")</f>
        <v>027231</v>
      </c>
      <c r="E98" t="str">
        <f>("622454272316")</f>
        <v>622454272316</v>
      </c>
      <c r="F98" t="s">
        <v>147</v>
      </c>
      <c r="G98" t="s">
        <v>148</v>
      </c>
      <c r="H98" s="4">
        <v>25.9</v>
      </c>
      <c r="I98" t="s">
        <v>20</v>
      </c>
      <c r="J98" s="1">
        <v>46174</v>
      </c>
      <c r="K98">
        <v>5.8999999999999997E-2</v>
      </c>
      <c r="L98">
        <v>0.13</v>
      </c>
      <c r="M98">
        <v>125</v>
      </c>
      <c r="N98">
        <v>27</v>
      </c>
    </row>
    <row r="99" spans="1:14" x14ac:dyDescent="0.25">
      <c r="A99" t="s">
        <v>16</v>
      </c>
      <c r="B99" t="s">
        <v>17</v>
      </c>
      <c r="C99" t="s">
        <v>18</v>
      </c>
      <c r="D99" s="3" t="str">
        <f>("027232")</f>
        <v>027232</v>
      </c>
      <c r="E99" t="str">
        <f>("622454272323")</f>
        <v>622454272323</v>
      </c>
      <c r="G99" t="s">
        <v>149</v>
      </c>
      <c r="H99" s="4">
        <v>66</v>
      </c>
      <c r="I99" t="s">
        <v>20</v>
      </c>
      <c r="J99" s="1">
        <v>46174</v>
      </c>
      <c r="K99">
        <v>8.2000000000000003E-2</v>
      </c>
      <c r="L99">
        <v>0.18099999999999999</v>
      </c>
      <c r="M99">
        <v>50</v>
      </c>
      <c r="N99">
        <v>27</v>
      </c>
    </row>
    <row r="100" spans="1:14" x14ac:dyDescent="0.25">
      <c r="A100" t="s">
        <v>16</v>
      </c>
      <c r="B100" t="s">
        <v>17</v>
      </c>
      <c r="C100" t="s">
        <v>18</v>
      </c>
      <c r="D100" s="3" t="str">
        <f>("027233")</f>
        <v>027233</v>
      </c>
      <c r="E100" t="str">
        <f>("622454272330")</f>
        <v>622454272330</v>
      </c>
      <c r="F100" t="s">
        <v>150</v>
      </c>
      <c r="G100" t="s">
        <v>151</v>
      </c>
      <c r="H100" s="4">
        <v>144</v>
      </c>
      <c r="I100" t="s">
        <v>20</v>
      </c>
      <c r="J100" s="1">
        <v>46174</v>
      </c>
      <c r="K100">
        <v>0.32700000000000001</v>
      </c>
      <c r="L100">
        <v>0.72099999999999997</v>
      </c>
      <c r="M100">
        <v>20</v>
      </c>
      <c r="N100">
        <v>27</v>
      </c>
    </row>
    <row r="101" spans="1:14" x14ac:dyDescent="0.25">
      <c r="A101" t="s">
        <v>16</v>
      </c>
      <c r="B101" t="s">
        <v>17</v>
      </c>
      <c r="C101" t="s">
        <v>18</v>
      </c>
      <c r="D101" s="3" t="str">
        <f>("027234")</f>
        <v>027234</v>
      </c>
      <c r="E101" t="str">
        <f>("622454272347")</f>
        <v>622454272347</v>
      </c>
      <c r="G101" t="s">
        <v>152</v>
      </c>
      <c r="H101" s="4">
        <v>374</v>
      </c>
      <c r="I101" t="s">
        <v>20</v>
      </c>
      <c r="J101" s="1">
        <v>46174</v>
      </c>
      <c r="K101">
        <v>0.505</v>
      </c>
      <c r="L101">
        <v>1.113</v>
      </c>
      <c r="M101">
        <v>20</v>
      </c>
      <c r="N101">
        <v>27</v>
      </c>
    </row>
    <row r="102" spans="1:14" x14ac:dyDescent="0.25">
      <c r="A102" t="s">
        <v>16</v>
      </c>
      <c r="B102" t="s">
        <v>17</v>
      </c>
      <c r="C102" t="s">
        <v>18</v>
      </c>
      <c r="D102" s="3" t="str">
        <f>("027235")</f>
        <v>027235</v>
      </c>
      <c r="E102" t="str">
        <f>("622454272354")</f>
        <v>622454272354</v>
      </c>
      <c r="F102" t="s">
        <v>153</v>
      </c>
      <c r="G102" t="s">
        <v>154</v>
      </c>
      <c r="H102" s="4">
        <v>121</v>
      </c>
      <c r="I102" t="s">
        <v>20</v>
      </c>
      <c r="J102" s="1">
        <v>46174</v>
      </c>
      <c r="K102">
        <v>0.26700000000000002</v>
      </c>
      <c r="L102">
        <v>0.58899999999999997</v>
      </c>
      <c r="M102">
        <v>30</v>
      </c>
      <c r="N102">
        <v>27</v>
      </c>
    </row>
    <row r="103" spans="1:14" x14ac:dyDescent="0.25">
      <c r="A103" t="s">
        <v>16</v>
      </c>
      <c r="B103" t="s">
        <v>17</v>
      </c>
      <c r="C103" t="s">
        <v>18</v>
      </c>
      <c r="D103" s="3" t="str">
        <f>("027240")</f>
        <v>027240</v>
      </c>
      <c r="E103" t="str">
        <f>("622454272408")</f>
        <v>622454272408</v>
      </c>
      <c r="F103" t="s">
        <v>155</v>
      </c>
      <c r="G103" t="s">
        <v>156</v>
      </c>
      <c r="H103" s="4">
        <v>39.5</v>
      </c>
      <c r="I103" t="s">
        <v>20</v>
      </c>
      <c r="J103" s="1">
        <v>46174</v>
      </c>
      <c r="K103">
        <v>3.5000000000000003E-2</v>
      </c>
      <c r="L103">
        <v>7.6999999999999999E-2</v>
      </c>
      <c r="M103">
        <v>100</v>
      </c>
      <c r="N103">
        <v>27</v>
      </c>
    </row>
    <row r="104" spans="1:14" x14ac:dyDescent="0.25">
      <c r="A104" t="s">
        <v>16</v>
      </c>
      <c r="B104" t="s">
        <v>17</v>
      </c>
      <c r="C104" t="s">
        <v>18</v>
      </c>
      <c r="D104" s="3" t="str">
        <f>("027241")</f>
        <v>027241</v>
      </c>
      <c r="E104" t="str">
        <f>("622454272415")</f>
        <v>622454272415</v>
      </c>
      <c r="F104" t="s">
        <v>157</v>
      </c>
      <c r="G104" t="s">
        <v>158</v>
      </c>
      <c r="H104" s="4">
        <v>20.399999999999999</v>
      </c>
      <c r="I104" t="s">
        <v>20</v>
      </c>
      <c r="J104" s="1">
        <v>46174</v>
      </c>
      <c r="K104">
        <v>3.9E-2</v>
      </c>
      <c r="L104">
        <v>8.5999999999999993E-2</v>
      </c>
      <c r="M104">
        <v>125</v>
      </c>
      <c r="N104">
        <v>27</v>
      </c>
    </row>
    <row r="105" spans="1:14" x14ac:dyDescent="0.25">
      <c r="A105" t="s">
        <v>16</v>
      </c>
      <c r="B105" t="s">
        <v>17</v>
      </c>
      <c r="C105" t="s">
        <v>18</v>
      </c>
      <c r="D105" s="3" t="str">
        <f>("027242")</f>
        <v>027242</v>
      </c>
      <c r="E105" t="str">
        <f>("622454272422")</f>
        <v>622454272422</v>
      </c>
      <c r="F105" t="s">
        <v>159</v>
      </c>
      <c r="G105" t="s">
        <v>160</v>
      </c>
      <c r="H105" s="4">
        <v>33.950000000000003</v>
      </c>
      <c r="I105" t="s">
        <v>20</v>
      </c>
      <c r="J105" s="1">
        <v>46174</v>
      </c>
      <c r="K105">
        <v>0.06</v>
      </c>
      <c r="L105">
        <v>0.13200000000000001</v>
      </c>
      <c r="M105">
        <v>50</v>
      </c>
      <c r="N105">
        <v>27</v>
      </c>
    </row>
    <row r="106" spans="1:14" x14ac:dyDescent="0.25">
      <c r="A106" t="s">
        <v>16</v>
      </c>
      <c r="B106" t="s">
        <v>17</v>
      </c>
      <c r="C106" t="s">
        <v>18</v>
      </c>
      <c r="D106" s="3" t="str">
        <f>("027243")</f>
        <v>027243</v>
      </c>
      <c r="E106" t="str">
        <f>("622454272439")</f>
        <v>622454272439</v>
      </c>
      <c r="F106" t="s">
        <v>161</v>
      </c>
      <c r="G106" t="s">
        <v>162</v>
      </c>
      <c r="H106" s="4">
        <v>91</v>
      </c>
      <c r="I106" t="s">
        <v>20</v>
      </c>
      <c r="J106" s="1">
        <v>46174</v>
      </c>
      <c r="K106">
        <v>0.20899999999999999</v>
      </c>
      <c r="L106">
        <v>0.46100000000000002</v>
      </c>
      <c r="M106">
        <v>25</v>
      </c>
      <c r="N106">
        <v>27</v>
      </c>
    </row>
    <row r="107" spans="1:14" x14ac:dyDescent="0.25">
      <c r="A107" t="s">
        <v>16</v>
      </c>
      <c r="B107" t="s">
        <v>17</v>
      </c>
      <c r="C107" t="s">
        <v>18</v>
      </c>
      <c r="D107" s="3" t="str">
        <f>("027244")</f>
        <v>027244</v>
      </c>
      <c r="E107" t="str">
        <f>("622454272446")</f>
        <v>622454272446</v>
      </c>
      <c r="F107" t="s">
        <v>163</v>
      </c>
      <c r="G107" t="s">
        <v>164</v>
      </c>
      <c r="H107" s="4">
        <v>261</v>
      </c>
      <c r="I107" t="s">
        <v>20</v>
      </c>
      <c r="J107" s="1">
        <v>46174</v>
      </c>
      <c r="K107">
        <v>0.51900000000000002</v>
      </c>
      <c r="L107">
        <v>1.1439999999999999</v>
      </c>
      <c r="M107">
        <v>15</v>
      </c>
      <c r="N107">
        <v>27</v>
      </c>
    </row>
    <row r="108" spans="1:14" x14ac:dyDescent="0.25">
      <c r="A108" t="s">
        <v>16</v>
      </c>
      <c r="B108" t="s">
        <v>17</v>
      </c>
      <c r="C108" t="s">
        <v>18</v>
      </c>
      <c r="D108" s="3" t="str">
        <f>("027246")</f>
        <v>027246</v>
      </c>
      <c r="E108" t="str">
        <f>("622454272460")</f>
        <v>622454272460</v>
      </c>
      <c r="G108" t="s">
        <v>165</v>
      </c>
      <c r="H108" s="4">
        <v>1119</v>
      </c>
      <c r="I108" t="s">
        <v>20</v>
      </c>
      <c r="J108" s="1">
        <v>46174</v>
      </c>
      <c r="K108">
        <v>1.135</v>
      </c>
      <c r="L108">
        <v>2.5019999999999998</v>
      </c>
      <c r="M108">
        <v>8</v>
      </c>
      <c r="N108">
        <v>27</v>
      </c>
    </row>
    <row r="109" spans="1:14" x14ac:dyDescent="0.25">
      <c r="A109" t="s">
        <v>16</v>
      </c>
      <c r="B109" t="s">
        <v>17</v>
      </c>
      <c r="C109" t="s">
        <v>18</v>
      </c>
      <c r="D109" s="3" t="str">
        <f>("027247")</f>
        <v>027247</v>
      </c>
      <c r="E109" t="str">
        <f>("622454272477")</f>
        <v>622454272477</v>
      </c>
      <c r="F109" t="s">
        <v>166</v>
      </c>
      <c r="G109" t="s">
        <v>167</v>
      </c>
      <c r="H109" s="4">
        <v>177</v>
      </c>
      <c r="I109" t="s">
        <v>20</v>
      </c>
      <c r="J109" s="1">
        <v>46174</v>
      </c>
      <c r="K109">
        <v>0.35599999999999998</v>
      </c>
      <c r="L109">
        <v>0.78500000000000003</v>
      </c>
      <c r="M109">
        <v>25</v>
      </c>
      <c r="N109">
        <v>27</v>
      </c>
    </row>
    <row r="110" spans="1:14" x14ac:dyDescent="0.25">
      <c r="A110" t="s">
        <v>16</v>
      </c>
      <c r="B110" t="s">
        <v>17</v>
      </c>
      <c r="C110" t="s">
        <v>18</v>
      </c>
      <c r="D110" s="3" t="str">
        <f>("027250")</f>
        <v>027250</v>
      </c>
      <c r="E110" t="str">
        <f>("622454272507")</f>
        <v>622454272507</v>
      </c>
      <c r="F110" t="s">
        <v>168</v>
      </c>
      <c r="G110" t="s">
        <v>169</v>
      </c>
      <c r="H110" s="4">
        <v>48.7</v>
      </c>
      <c r="I110" t="s">
        <v>20</v>
      </c>
      <c r="J110" s="1">
        <v>46174</v>
      </c>
      <c r="K110">
        <v>4.1000000000000002E-2</v>
      </c>
      <c r="L110">
        <v>0.09</v>
      </c>
      <c r="M110">
        <v>100</v>
      </c>
      <c r="N110">
        <v>27</v>
      </c>
    </row>
    <row r="111" spans="1:14" x14ac:dyDescent="0.25">
      <c r="A111" t="s">
        <v>16</v>
      </c>
      <c r="B111" t="s">
        <v>17</v>
      </c>
      <c r="C111" t="s">
        <v>18</v>
      </c>
      <c r="D111" s="3" t="str">
        <f>("027251")</f>
        <v>027251</v>
      </c>
      <c r="E111" t="str">
        <f>("622454272514")</f>
        <v>622454272514</v>
      </c>
      <c r="F111" t="s">
        <v>170</v>
      </c>
      <c r="G111" t="s">
        <v>171</v>
      </c>
      <c r="H111" s="4">
        <v>30.85</v>
      </c>
      <c r="I111" t="s">
        <v>20</v>
      </c>
      <c r="J111" s="1">
        <v>46174</v>
      </c>
      <c r="K111">
        <v>4.3999999999999997E-2</v>
      </c>
      <c r="L111">
        <v>9.7000000000000003E-2</v>
      </c>
      <c r="M111">
        <v>75</v>
      </c>
      <c r="N111">
        <v>27</v>
      </c>
    </row>
    <row r="112" spans="1:14" x14ac:dyDescent="0.25">
      <c r="A112" t="s">
        <v>16</v>
      </c>
      <c r="B112" t="s">
        <v>17</v>
      </c>
      <c r="C112" t="s">
        <v>18</v>
      </c>
      <c r="D112" s="3" t="str">
        <f>("027252")</f>
        <v>027252</v>
      </c>
      <c r="E112" t="str">
        <f>("622454272521")</f>
        <v>622454272521</v>
      </c>
      <c r="G112" t="s">
        <v>172</v>
      </c>
      <c r="H112" s="4">
        <v>57</v>
      </c>
      <c r="I112" t="s">
        <v>20</v>
      </c>
      <c r="J112" s="1">
        <v>46174</v>
      </c>
      <c r="K112">
        <v>7.2999999999999995E-2</v>
      </c>
      <c r="L112">
        <v>0.161</v>
      </c>
      <c r="M112">
        <v>50</v>
      </c>
      <c r="N112">
        <v>27</v>
      </c>
    </row>
    <row r="113" spans="1:14" x14ac:dyDescent="0.25">
      <c r="A113" t="s">
        <v>16</v>
      </c>
      <c r="B113" t="s">
        <v>17</v>
      </c>
      <c r="C113" t="s">
        <v>18</v>
      </c>
      <c r="D113" s="3" t="str">
        <f>("027253")</f>
        <v>027253</v>
      </c>
      <c r="E113" t="str">
        <f>("622454272538")</f>
        <v>622454272538</v>
      </c>
      <c r="F113" t="s">
        <v>173</v>
      </c>
      <c r="G113" t="s">
        <v>174</v>
      </c>
      <c r="H113" s="4">
        <v>131</v>
      </c>
      <c r="I113" t="s">
        <v>20</v>
      </c>
      <c r="J113" s="1">
        <v>46174</v>
      </c>
      <c r="K113">
        <v>0.21099999999999999</v>
      </c>
      <c r="L113">
        <v>0.46500000000000002</v>
      </c>
      <c r="M113">
        <v>25</v>
      </c>
      <c r="N113">
        <v>27</v>
      </c>
    </row>
    <row r="114" spans="1:14" x14ac:dyDescent="0.25">
      <c r="A114" t="s">
        <v>16</v>
      </c>
      <c r="B114" t="s">
        <v>17</v>
      </c>
      <c r="C114" t="s">
        <v>18</v>
      </c>
      <c r="D114" s="3" t="str">
        <f>("027254")</f>
        <v>027254</v>
      </c>
      <c r="E114" t="str">
        <f>("622454272545")</f>
        <v>622454272545</v>
      </c>
      <c r="G114" t="s">
        <v>175</v>
      </c>
      <c r="H114" s="4">
        <v>235</v>
      </c>
      <c r="I114" t="s">
        <v>20</v>
      </c>
      <c r="J114" s="1">
        <v>46174</v>
      </c>
      <c r="K114">
        <v>0.35499999999999998</v>
      </c>
      <c r="L114">
        <v>0.78300000000000003</v>
      </c>
      <c r="M114">
        <v>15</v>
      </c>
      <c r="N114">
        <v>27</v>
      </c>
    </row>
    <row r="115" spans="1:14" x14ac:dyDescent="0.25">
      <c r="A115" t="s">
        <v>16</v>
      </c>
      <c r="B115" t="s">
        <v>17</v>
      </c>
      <c r="C115" t="s">
        <v>18</v>
      </c>
      <c r="D115" s="3" t="str">
        <f>("027256")</f>
        <v>027256</v>
      </c>
      <c r="E115" t="str">
        <f>("622454272569")</f>
        <v>622454272569</v>
      </c>
      <c r="G115" t="s">
        <v>176</v>
      </c>
      <c r="H115" s="4">
        <v>1392</v>
      </c>
      <c r="I115" t="s">
        <v>20</v>
      </c>
      <c r="J115" s="1">
        <v>46174</v>
      </c>
      <c r="K115">
        <v>1.05</v>
      </c>
      <c r="L115">
        <v>2.3149999999999999</v>
      </c>
      <c r="M115">
        <v>4</v>
      </c>
      <c r="N115">
        <v>27</v>
      </c>
    </row>
    <row r="116" spans="1:14" x14ac:dyDescent="0.25">
      <c r="A116" t="s">
        <v>16</v>
      </c>
      <c r="B116" t="s">
        <v>17</v>
      </c>
      <c r="C116" t="s">
        <v>18</v>
      </c>
      <c r="D116" s="3" t="str">
        <f>("027261")</f>
        <v>027261</v>
      </c>
      <c r="E116" t="str">
        <f>("622454272613")</f>
        <v>622454272613</v>
      </c>
      <c r="F116" t="s">
        <v>177</v>
      </c>
      <c r="G116" t="s">
        <v>178</v>
      </c>
      <c r="H116" s="4">
        <v>57</v>
      </c>
      <c r="I116" t="s">
        <v>20</v>
      </c>
      <c r="J116" s="1">
        <v>46174</v>
      </c>
      <c r="K116">
        <v>5.0999999999999997E-2</v>
      </c>
      <c r="L116">
        <v>0.112</v>
      </c>
      <c r="M116">
        <v>75</v>
      </c>
      <c r="N116">
        <v>27</v>
      </c>
    </row>
    <row r="117" spans="1:14" x14ac:dyDescent="0.25">
      <c r="A117" t="s">
        <v>16</v>
      </c>
      <c r="B117" t="s">
        <v>17</v>
      </c>
      <c r="C117" t="s">
        <v>18</v>
      </c>
      <c r="D117" s="3" t="str">
        <f>("027262")</f>
        <v>027262</v>
      </c>
      <c r="E117" t="str">
        <f>("622454272620")</f>
        <v>622454272620</v>
      </c>
      <c r="G117" t="s">
        <v>179</v>
      </c>
      <c r="H117" s="4">
        <v>79</v>
      </c>
      <c r="I117" t="s">
        <v>20</v>
      </c>
      <c r="J117" s="1">
        <v>46174</v>
      </c>
      <c r="K117">
        <v>6.4000000000000001E-2</v>
      </c>
      <c r="L117">
        <v>0.14099999999999999</v>
      </c>
      <c r="M117">
        <v>40</v>
      </c>
      <c r="N117">
        <v>27</v>
      </c>
    </row>
    <row r="118" spans="1:14" x14ac:dyDescent="0.25">
      <c r="A118" t="s">
        <v>16</v>
      </c>
      <c r="B118" t="s">
        <v>17</v>
      </c>
      <c r="C118" t="s">
        <v>18</v>
      </c>
      <c r="D118" s="3" t="str">
        <f>("027263")</f>
        <v>027263</v>
      </c>
      <c r="E118" t="str">
        <f>("622454272637")</f>
        <v>622454272637</v>
      </c>
      <c r="G118" t="s">
        <v>180</v>
      </c>
      <c r="H118" s="4">
        <v>173</v>
      </c>
      <c r="I118" t="s">
        <v>20</v>
      </c>
      <c r="J118" s="1">
        <v>46174</v>
      </c>
      <c r="K118">
        <v>0.23200000000000001</v>
      </c>
      <c r="L118">
        <v>0.51100000000000001</v>
      </c>
      <c r="M118">
        <v>20</v>
      </c>
      <c r="N118">
        <v>27</v>
      </c>
    </row>
    <row r="119" spans="1:14" x14ac:dyDescent="0.25">
      <c r="A119" t="s">
        <v>16</v>
      </c>
      <c r="B119" t="s">
        <v>17</v>
      </c>
      <c r="C119" t="s">
        <v>18</v>
      </c>
      <c r="D119" s="3" t="str">
        <f>("027264")</f>
        <v>027264</v>
      </c>
      <c r="E119" t="str">
        <f>("622454272644")</f>
        <v>622454272644</v>
      </c>
      <c r="G119" t="s">
        <v>181</v>
      </c>
      <c r="H119" s="4">
        <v>330</v>
      </c>
      <c r="I119" t="s">
        <v>20</v>
      </c>
      <c r="J119" s="1">
        <v>46174</v>
      </c>
      <c r="K119">
        <v>0.47299999999999998</v>
      </c>
      <c r="L119">
        <v>1.0429999999999999</v>
      </c>
      <c r="M119">
        <v>10</v>
      </c>
      <c r="N119">
        <v>27</v>
      </c>
    </row>
    <row r="120" spans="1:14" x14ac:dyDescent="0.25">
      <c r="A120" t="s">
        <v>16</v>
      </c>
      <c r="B120" t="s">
        <v>17</v>
      </c>
      <c r="C120" t="s">
        <v>18</v>
      </c>
      <c r="D120" s="3" t="str">
        <f>("027276")</f>
        <v>027276</v>
      </c>
      <c r="E120" t="str">
        <f>("622454272767")</f>
        <v>622454272767</v>
      </c>
      <c r="G120" t="s">
        <v>182</v>
      </c>
      <c r="H120" s="4">
        <v>153</v>
      </c>
      <c r="I120" t="s">
        <v>20</v>
      </c>
      <c r="J120" s="1">
        <v>46174</v>
      </c>
      <c r="K120">
        <v>0.2</v>
      </c>
      <c r="L120">
        <v>0.441</v>
      </c>
      <c r="M120">
        <v>10</v>
      </c>
      <c r="N120">
        <v>27</v>
      </c>
    </row>
    <row r="121" spans="1:14" x14ac:dyDescent="0.25">
      <c r="A121" t="s">
        <v>16</v>
      </c>
      <c r="B121" t="s">
        <v>17</v>
      </c>
      <c r="C121" t="s">
        <v>18</v>
      </c>
      <c r="D121" s="3" t="str">
        <f>("027277")</f>
        <v>027277</v>
      </c>
      <c r="E121" t="str">
        <f>("622454272774")</f>
        <v>622454272774</v>
      </c>
      <c r="F121" t="s">
        <v>183</v>
      </c>
      <c r="G121" t="s">
        <v>184</v>
      </c>
      <c r="H121" s="4">
        <v>39.5</v>
      </c>
      <c r="I121" t="s">
        <v>20</v>
      </c>
      <c r="J121" s="1">
        <v>46174</v>
      </c>
      <c r="K121">
        <v>3.5000000000000003E-2</v>
      </c>
      <c r="L121">
        <v>7.6999999999999999E-2</v>
      </c>
      <c r="M121">
        <v>100</v>
      </c>
      <c r="N121">
        <v>27</v>
      </c>
    </row>
    <row r="122" spans="1:14" x14ac:dyDescent="0.25">
      <c r="A122" t="s">
        <v>16</v>
      </c>
      <c r="B122" t="s">
        <v>17</v>
      </c>
      <c r="C122" t="s">
        <v>18</v>
      </c>
      <c r="D122" s="3" t="str">
        <f>("027278")</f>
        <v>027278</v>
      </c>
      <c r="E122" t="str">
        <f>("622454272781")</f>
        <v>622454272781</v>
      </c>
      <c r="G122" t="s">
        <v>185</v>
      </c>
      <c r="H122" s="4">
        <v>66</v>
      </c>
      <c r="I122" t="s">
        <v>20</v>
      </c>
      <c r="J122" s="1">
        <v>46174</v>
      </c>
      <c r="K122">
        <v>2.5999999999999999E-2</v>
      </c>
      <c r="L122">
        <v>5.7000000000000002E-2</v>
      </c>
      <c r="M122">
        <v>80</v>
      </c>
      <c r="N122">
        <v>27</v>
      </c>
    </row>
    <row r="123" spans="1:14" x14ac:dyDescent="0.25">
      <c r="A123" t="s">
        <v>16</v>
      </c>
      <c r="B123" t="s">
        <v>17</v>
      </c>
      <c r="C123" t="s">
        <v>18</v>
      </c>
      <c r="D123" s="3" t="str">
        <f>("027279")</f>
        <v>027279</v>
      </c>
      <c r="E123" t="str">
        <f>("622454272798")</f>
        <v>622454272798</v>
      </c>
      <c r="F123" t="s">
        <v>186</v>
      </c>
      <c r="G123" t="s">
        <v>187</v>
      </c>
      <c r="H123" s="4">
        <v>37.6</v>
      </c>
      <c r="I123" t="s">
        <v>20</v>
      </c>
      <c r="J123" s="1">
        <v>46174</v>
      </c>
      <c r="K123">
        <v>2.4E-2</v>
      </c>
      <c r="L123">
        <v>5.2999999999999999E-2</v>
      </c>
      <c r="M123">
        <v>100</v>
      </c>
      <c r="N123">
        <v>27</v>
      </c>
    </row>
    <row r="124" spans="1:14" x14ac:dyDescent="0.25">
      <c r="A124" t="s">
        <v>16</v>
      </c>
      <c r="B124" t="s">
        <v>17</v>
      </c>
      <c r="C124" t="s">
        <v>18</v>
      </c>
      <c r="D124" s="3" t="str">
        <f>("027280")</f>
        <v>027280</v>
      </c>
      <c r="E124" t="str">
        <f>("622454272804")</f>
        <v>622454272804</v>
      </c>
      <c r="F124" t="s">
        <v>188</v>
      </c>
      <c r="G124" t="s">
        <v>189</v>
      </c>
      <c r="H124" s="4">
        <v>27.15</v>
      </c>
      <c r="I124" t="s">
        <v>20</v>
      </c>
      <c r="J124" s="1">
        <v>46174</v>
      </c>
      <c r="K124">
        <v>1.2999999999999999E-2</v>
      </c>
      <c r="L124">
        <v>2.9000000000000001E-2</v>
      </c>
      <c r="M124">
        <v>150</v>
      </c>
      <c r="N124">
        <v>27</v>
      </c>
    </row>
    <row r="125" spans="1:14" x14ac:dyDescent="0.25">
      <c r="A125" t="s">
        <v>16</v>
      </c>
      <c r="B125" t="s">
        <v>17</v>
      </c>
      <c r="C125" t="s">
        <v>18</v>
      </c>
      <c r="D125" s="3" t="str">
        <f>("027281")</f>
        <v>027281</v>
      </c>
      <c r="E125" t="str">
        <f>("622454272811")</f>
        <v>622454272811</v>
      </c>
      <c r="G125" t="s">
        <v>190</v>
      </c>
      <c r="H125" s="4">
        <v>48.7</v>
      </c>
      <c r="I125" t="s">
        <v>20</v>
      </c>
      <c r="J125" s="1">
        <v>46174</v>
      </c>
      <c r="K125">
        <v>1.6E-2</v>
      </c>
      <c r="L125">
        <v>3.5000000000000003E-2</v>
      </c>
      <c r="M125">
        <v>100</v>
      </c>
      <c r="N125">
        <v>27</v>
      </c>
    </row>
    <row r="126" spans="1:14" x14ac:dyDescent="0.25">
      <c r="A126" t="s">
        <v>16</v>
      </c>
      <c r="B126" t="s">
        <v>17</v>
      </c>
      <c r="C126" t="s">
        <v>18</v>
      </c>
      <c r="D126" s="3" t="str">
        <f>("027282")</f>
        <v>027282</v>
      </c>
      <c r="E126" t="str">
        <f>("622454272828")</f>
        <v>622454272828</v>
      </c>
      <c r="F126" t="s">
        <v>191</v>
      </c>
      <c r="G126" t="s">
        <v>192</v>
      </c>
      <c r="H126" s="4">
        <v>17.899999999999999</v>
      </c>
      <c r="I126" t="s">
        <v>20</v>
      </c>
      <c r="J126" s="1">
        <v>46174</v>
      </c>
      <c r="K126">
        <v>2.1999999999999999E-2</v>
      </c>
      <c r="L126">
        <v>4.9000000000000002E-2</v>
      </c>
      <c r="M126">
        <v>150</v>
      </c>
      <c r="N126">
        <v>27</v>
      </c>
    </row>
    <row r="127" spans="1:14" x14ac:dyDescent="0.25">
      <c r="A127" t="s">
        <v>16</v>
      </c>
      <c r="B127" t="s">
        <v>17</v>
      </c>
      <c r="C127" t="s">
        <v>18</v>
      </c>
      <c r="D127" s="3" t="str">
        <f>("027284")</f>
        <v>027284</v>
      </c>
      <c r="E127" t="str">
        <f>("622454272842")</f>
        <v>622454272842</v>
      </c>
      <c r="G127" t="s">
        <v>193</v>
      </c>
      <c r="H127" s="4">
        <v>64</v>
      </c>
      <c r="I127" t="s">
        <v>20</v>
      </c>
      <c r="J127" s="1">
        <v>46174</v>
      </c>
      <c r="K127">
        <v>0.11600000000000001</v>
      </c>
      <c r="L127">
        <v>0.25600000000000001</v>
      </c>
      <c r="M127">
        <v>60</v>
      </c>
      <c r="N127">
        <v>27</v>
      </c>
    </row>
    <row r="128" spans="1:14" x14ac:dyDescent="0.25">
      <c r="A128" t="s">
        <v>16</v>
      </c>
      <c r="B128" t="s">
        <v>17</v>
      </c>
      <c r="C128" t="s">
        <v>18</v>
      </c>
      <c r="D128" s="3" t="str">
        <f>("027285")</f>
        <v>027285</v>
      </c>
      <c r="E128" t="str">
        <f>("622454272859")</f>
        <v>622454272859</v>
      </c>
      <c r="G128" t="s">
        <v>194</v>
      </c>
      <c r="H128" s="4">
        <v>73</v>
      </c>
      <c r="I128" t="s">
        <v>20</v>
      </c>
      <c r="J128" s="1">
        <v>46174</v>
      </c>
      <c r="K128">
        <v>3.4000000000000002E-2</v>
      </c>
      <c r="L128">
        <v>7.4999999999999997E-2</v>
      </c>
      <c r="M128">
        <v>125</v>
      </c>
      <c r="N128">
        <v>27</v>
      </c>
    </row>
    <row r="129" spans="1:14" x14ac:dyDescent="0.25">
      <c r="A129" t="s">
        <v>16</v>
      </c>
      <c r="B129" t="s">
        <v>17</v>
      </c>
      <c r="C129" t="s">
        <v>18</v>
      </c>
      <c r="D129" s="3" t="str">
        <f>("027286")</f>
        <v>027286</v>
      </c>
      <c r="E129" t="str">
        <f>("622454272866")</f>
        <v>622454272866</v>
      </c>
      <c r="F129" t="s">
        <v>195</v>
      </c>
      <c r="G129" t="s">
        <v>196</v>
      </c>
      <c r="H129" s="4">
        <v>122</v>
      </c>
      <c r="I129" t="s">
        <v>20</v>
      </c>
      <c r="J129" s="1">
        <v>46174</v>
      </c>
      <c r="K129">
        <v>0.223</v>
      </c>
      <c r="L129">
        <v>0.49199999999999999</v>
      </c>
      <c r="M129">
        <v>40</v>
      </c>
      <c r="N129">
        <v>27</v>
      </c>
    </row>
    <row r="130" spans="1:14" x14ac:dyDescent="0.25">
      <c r="A130" t="s">
        <v>16</v>
      </c>
      <c r="B130" t="s">
        <v>17</v>
      </c>
      <c r="C130" t="s">
        <v>18</v>
      </c>
      <c r="D130" s="3" t="str">
        <f>("027288")</f>
        <v>027288</v>
      </c>
      <c r="E130" t="str">
        <f>("622454272880")</f>
        <v>622454272880</v>
      </c>
      <c r="F130" t="s">
        <v>197</v>
      </c>
      <c r="G130" t="s">
        <v>198</v>
      </c>
      <c r="H130" s="4">
        <v>136</v>
      </c>
      <c r="I130" t="s">
        <v>20</v>
      </c>
      <c r="J130" s="1">
        <v>46174</v>
      </c>
      <c r="K130">
        <v>0.19600000000000001</v>
      </c>
      <c r="L130">
        <v>0.432</v>
      </c>
      <c r="M130">
        <v>20</v>
      </c>
      <c r="N130">
        <v>27</v>
      </c>
    </row>
    <row r="131" spans="1:14" x14ac:dyDescent="0.25">
      <c r="A131" t="s">
        <v>16</v>
      </c>
      <c r="B131" t="s">
        <v>17</v>
      </c>
      <c r="C131" t="s">
        <v>18</v>
      </c>
      <c r="D131" s="3" t="str">
        <f>("027290")</f>
        <v>027290</v>
      </c>
      <c r="E131" t="str">
        <f>("622454272903")</f>
        <v>622454272903</v>
      </c>
      <c r="G131" t="s">
        <v>199</v>
      </c>
      <c r="H131" s="4">
        <v>51.15</v>
      </c>
      <c r="I131" t="s">
        <v>20</v>
      </c>
      <c r="J131" s="1">
        <v>46174</v>
      </c>
      <c r="K131">
        <v>3.1E-2</v>
      </c>
      <c r="L131">
        <v>6.8000000000000005E-2</v>
      </c>
      <c r="M131">
        <v>150</v>
      </c>
      <c r="N131">
        <v>27</v>
      </c>
    </row>
    <row r="132" spans="1:14" x14ac:dyDescent="0.25">
      <c r="A132" t="s">
        <v>16</v>
      </c>
      <c r="B132" t="s">
        <v>17</v>
      </c>
      <c r="C132" t="s">
        <v>18</v>
      </c>
      <c r="D132" s="3" t="str">
        <f>("027292")</f>
        <v>027292</v>
      </c>
      <c r="E132" t="str">
        <f>("622454272927")</f>
        <v>622454272927</v>
      </c>
      <c r="G132" t="s">
        <v>200</v>
      </c>
      <c r="H132" s="4">
        <v>89</v>
      </c>
      <c r="I132" t="s">
        <v>20</v>
      </c>
      <c r="J132" s="1">
        <v>46174</v>
      </c>
      <c r="K132">
        <v>0.14000000000000001</v>
      </c>
      <c r="L132">
        <v>0.309</v>
      </c>
      <c r="M132">
        <v>35</v>
      </c>
      <c r="N132">
        <v>27</v>
      </c>
    </row>
    <row r="133" spans="1:14" x14ac:dyDescent="0.25">
      <c r="A133" t="s">
        <v>16</v>
      </c>
      <c r="B133" t="s">
        <v>17</v>
      </c>
      <c r="C133" t="s">
        <v>18</v>
      </c>
      <c r="D133" s="3" t="str">
        <f>("027294")</f>
        <v>027294</v>
      </c>
      <c r="E133" t="str">
        <f>("622454272941")</f>
        <v>622454272941</v>
      </c>
      <c r="F133" t="s">
        <v>201</v>
      </c>
      <c r="G133" t="s">
        <v>202</v>
      </c>
      <c r="H133" s="4">
        <v>194</v>
      </c>
      <c r="I133" t="s">
        <v>20</v>
      </c>
      <c r="J133" s="1">
        <v>46174</v>
      </c>
      <c r="K133">
        <v>0.14499999999999999</v>
      </c>
      <c r="L133">
        <v>0.32</v>
      </c>
      <c r="M133">
        <v>40</v>
      </c>
      <c r="N133">
        <v>27</v>
      </c>
    </row>
    <row r="134" spans="1:14" x14ac:dyDescent="0.25">
      <c r="A134" t="s">
        <v>16</v>
      </c>
      <c r="B134" t="s">
        <v>17</v>
      </c>
      <c r="C134" t="s">
        <v>18</v>
      </c>
      <c r="D134" s="3" t="str">
        <f>("027297")</f>
        <v>027297</v>
      </c>
      <c r="E134" t="str">
        <f>("622454272972")</f>
        <v>622454272972</v>
      </c>
      <c r="F134" t="s">
        <v>203</v>
      </c>
      <c r="G134" t="s">
        <v>204</v>
      </c>
      <c r="H134" s="4">
        <v>666</v>
      </c>
      <c r="I134" t="s">
        <v>20</v>
      </c>
      <c r="J134" s="1">
        <v>46174</v>
      </c>
      <c r="K134">
        <v>0.64800000000000002</v>
      </c>
      <c r="L134">
        <v>1.429</v>
      </c>
      <c r="M134">
        <v>24</v>
      </c>
      <c r="N134">
        <v>27</v>
      </c>
    </row>
    <row r="135" spans="1:14" x14ac:dyDescent="0.25">
      <c r="A135" t="s">
        <v>16</v>
      </c>
      <c r="B135" t="s">
        <v>17</v>
      </c>
      <c r="C135" t="s">
        <v>18</v>
      </c>
      <c r="D135" s="3" t="str">
        <f>("027302")</f>
        <v>027302</v>
      </c>
      <c r="E135" t="str">
        <f>("622454273023")</f>
        <v>622454273023</v>
      </c>
      <c r="G135" t="s">
        <v>205</v>
      </c>
      <c r="H135" s="4">
        <v>105</v>
      </c>
      <c r="I135" t="s">
        <v>20</v>
      </c>
      <c r="J135" s="1">
        <v>46174</v>
      </c>
      <c r="K135">
        <v>5.3999999999999999E-2</v>
      </c>
      <c r="L135">
        <v>0.11899999999999999</v>
      </c>
      <c r="M135">
        <v>60</v>
      </c>
      <c r="N135">
        <v>27</v>
      </c>
    </row>
    <row r="136" spans="1:14" x14ac:dyDescent="0.25">
      <c r="A136" t="s">
        <v>16</v>
      </c>
      <c r="B136" t="s">
        <v>17</v>
      </c>
      <c r="C136" t="s">
        <v>18</v>
      </c>
      <c r="D136" s="3" t="str">
        <f>("027310")</f>
        <v>027310</v>
      </c>
      <c r="E136" t="str">
        <f>("622454273108")</f>
        <v>622454273108</v>
      </c>
      <c r="G136" t="s">
        <v>206</v>
      </c>
      <c r="H136" s="4">
        <v>43.75</v>
      </c>
      <c r="I136" t="s">
        <v>20</v>
      </c>
      <c r="J136" s="1">
        <v>46174</v>
      </c>
      <c r="K136">
        <v>8.0000000000000002E-3</v>
      </c>
      <c r="L136">
        <v>1.7999999999999999E-2</v>
      </c>
      <c r="M136">
        <v>80</v>
      </c>
      <c r="N136">
        <v>27</v>
      </c>
    </row>
    <row r="137" spans="1:14" x14ac:dyDescent="0.25">
      <c r="A137" t="s">
        <v>16</v>
      </c>
      <c r="B137" t="s">
        <v>17</v>
      </c>
      <c r="C137" t="s">
        <v>18</v>
      </c>
      <c r="D137" s="3" t="str">
        <f>("027311")</f>
        <v>027311</v>
      </c>
      <c r="E137" t="str">
        <f>("622454273115")</f>
        <v>622454273115</v>
      </c>
      <c r="G137" t="s">
        <v>207</v>
      </c>
      <c r="H137" s="4">
        <v>51.15</v>
      </c>
      <c r="I137" t="s">
        <v>20</v>
      </c>
      <c r="J137" s="1">
        <v>46174</v>
      </c>
      <c r="K137">
        <v>3.7999999999999999E-2</v>
      </c>
      <c r="L137">
        <v>8.4000000000000005E-2</v>
      </c>
      <c r="M137">
        <v>50</v>
      </c>
      <c r="N137">
        <v>27</v>
      </c>
    </row>
    <row r="138" spans="1:14" x14ac:dyDescent="0.25">
      <c r="A138" t="s">
        <v>16</v>
      </c>
      <c r="B138" t="s">
        <v>17</v>
      </c>
      <c r="C138" t="s">
        <v>18</v>
      </c>
      <c r="D138" s="3" t="str">
        <f>("027312")</f>
        <v>027312</v>
      </c>
      <c r="E138" t="str">
        <f>("622454273122")</f>
        <v>622454273122</v>
      </c>
      <c r="F138" t="s">
        <v>208</v>
      </c>
      <c r="G138" t="s">
        <v>209</v>
      </c>
      <c r="H138" s="4">
        <v>59</v>
      </c>
      <c r="I138" t="s">
        <v>20</v>
      </c>
      <c r="J138" s="1">
        <v>46174</v>
      </c>
      <c r="K138">
        <v>0.06</v>
      </c>
      <c r="L138">
        <v>0.13200000000000001</v>
      </c>
      <c r="M138">
        <v>50</v>
      </c>
      <c r="N138">
        <v>27</v>
      </c>
    </row>
    <row r="139" spans="1:14" x14ac:dyDescent="0.25">
      <c r="A139" t="s">
        <v>16</v>
      </c>
      <c r="B139" t="s">
        <v>17</v>
      </c>
      <c r="C139" t="s">
        <v>18</v>
      </c>
      <c r="D139" s="3" t="str">
        <f>("027320")</f>
        <v>027320</v>
      </c>
      <c r="E139" t="str">
        <f>("622454273207")</f>
        <v>622454273207</v>
      </c>
      <c r="G139" t="s">
        <v>210</v>
      </c>
      <c r="H139" s="4">
        <v>65</v>
      </c>
      <c r="I139" t="s">
        <v>20</v>
      </c>
      <c r="J139" s="1">
        <v>46174</v>
      </c>
      <c r="K139">
        <v>3.3000000000000002E-2</v>
      </c>
      <c r="L139">
        <v>7.2999999999999995E-2</v>
      </c>
      <c r="M139">
        <v>125</v>
      </c>
      <c r="N139">
        <v>27</v>
      </c>
    </row>
    <row r="140" spans="1:14" x14ac:dyDescent="0.25">
      <c r="A140" t="s">
        <v>16</v>
      </c>
      <c r="B140" t="s">
        <v>17</v>
      </c>
      <c r="C140" t="s">
        <v>18</v>
      </c>
      <c r="D140" s="3" t="str">
        <f>("027321")</f>
        <v>027321</v>
      </c>
      <c r="E140" t="str">
        <f>("622454273214")</f>
        <v>622454273214</v>
      </c>
      <c r="G140" t="s">
        <v>211</v>
      </c>
      <c r="H140" s="4">
        <v>39.5</v>
      </c>
      <c r="I140" t="s">
        <v>20</v>
      </c>
      <c r="J140" s="1">
        <v>46174</v>
      </c>
      <c r="K140">
        <v>3.9E-2</v>
      </c>
      <c r="L140">
        <v>8.5999999999999993E-2</v>
      </c>
      <c r="M140">
        <v>100</v>
      </c>
      <c r="N140">
        <v>27</v>
      </c>
    </row>
    <row r="141" spans="1:14" x14ac:dyDescent="0.25">
      <c r="A141" t="s">
        <v>16</v>
      </c>
      <c r="B141" t="s">
        <v>17</v>
      </c>
      <c r="C141" t="s">
        <v>18</v>
      </c>
      <c r="D141" s="3" t="str">
        <f>("027329")</f>
        <v>027329</v>
      </c>
      <c r="E141" t="str">
        <f>("622454273290")</f>
        <v>622454273290</v>
      </c>
      <c r="G141" t="s">
        <v>212</v>
      </c>
      <c r="H141" s="4">
        <v>40.700000000000003</v>
      </c>
      <c r="I141" t="s">
        <v>20</v>
      </c>
      <c r="J141" s="1">
        <v>46174</v>
      </c>
      <c r="K141">
        <v>3.6999999999999998E-2</v>
      </c>
      <c r="L141">
        <v>8.2000000000000003E-2</v>
      </c>
      <c r="M141">
        <v>100</v>
      </c>
      <c r="N141">
        <v>27</v>
      </c>
    </row>
    <row r="142" spans="1:14" x14ac:dyDescent="0.25">
      <c r="A142" t="s">
        <v>16</v>
      </c>
      <c r="B142" t="s">
        <v>17</v>
      </c>
      <c r="C142" t="s">
        <v>18</v>
      </c>
      <c r="D142" s="3" t="str">
        <f>("027330")</f>
        <v>027330</v>
      </c>
      <c r="E142" t="str">
        <f>("622454273306")</f>
        <v>622454273306</v>
      </c>
      <c r="G142" t="s">
        <v>213</v>
      </c>
      <c r="H142" s="4">
        <v>34.549999999999997</v>
      </c>
      <c r="I142" t="s">
        <v>20</v>
      </c>
      <c r="J142" s="1">
        <v>46174</v>
      </c>
      <c r="K142">
        <v>2.3E-2</v>
      </c>
      <c r="L142">
        <v>5.0999999999999997E-2</v>
      </c>
      <c r="M142">
        <v>125</v>
      </c>
      <c r="N142">
        <v>27</v>
      </c>
    </row>
    <row r="143" spans="1:14" x14ac:dyDescent="0.25">
      <c r="A143" t="s">
        <v>16</v>
      </c>
      <c r="B143" t="s">
        <v>17</v>
      </c>
      <c r="C143" t="s">
        <v>18</v>
      </c>
      <c r="D143" s="3" t="str">
        <f>("027331")</f>
        <v>027331</v>
      </c>
      <c r="E143" t="str">
        <f>("622454273313")</f>
        <v>622454273313</v>
      </c>
      <c r="G143" t="s">
        <v>214</v>
      </c>
      <c r="H143" s="4">
        <v>23.45</v>
      </c>
      <c r="I143" t="s">
        <v>20</v>
      </c>
      <c r="J143" s="1">
        <v>46174</v>
      </c>
      <c r="K143">
        <v>2.7E-2</v>
      </c>
      <c r="L143">
        <v>0.06</v>
      </c>
      <c r="M143">
        <v>125</v>
      </c>
      <c r="N143">
        <v>27</v>
      </c>
    </row>
    <row r="144" spans="1:14" x14ac:dyDescent="0.25">
      <c r="A144" t="s">
        <v>16</v>
      </c>
      <c r="B144" t="s">
        <v>17</v>
      </c>
      <c r="C144" t="s">
        <v>18</v>
      </c>
      <c r="D144" s="3" t="str">
        <f>("027332")</f>
        <v>027332</v>
      </c>
      <c r="E144" t="str">
        <f>("622454273320")</f>
        <v>622454273320</v>
      </c>
      <c r="G144" t="s">
        <v>215</v>
      </c>
      <c r="H144" s="4">
        <v>35.75</v>
      </c>
      <c r="I144" t="s">
        <v>20</v>
      </c>
      <c r="J144" s="1">
        <v>46174</v>
      </c>
      <c r="K144">
        <v>3.3000000000000002E-2</v>
      </c>
      <c r="L144">
        <v>7.2999999999999995E-2</v>
      </c>
      <c r="M144">
        <v>80</v>
      </c>
      <c r="N144">
        <v>27</v>
      </c>
    </row>
    <row r="145" spans="1:14" x14ac:dyDescent="0.25">
      <c r="A145" t="s">
        <v>16</v>
      </c>
      <c r="B145" t="s">
        <v>17</v>
      </c>
      <c r="C145" t="s">
        <v>18</v>
      </c>
      <c r="D145" s="3" t="str">
        <f>("027333")</f>
        <v>027333</v>
      </c>
      <c r="E145" t="str">
        <f>("622454273337")</f>
        <v>622454273337</v>
      </c>
      <c r="G145" t="s">
        <v>216</v>
      </c>
      <c r="H145" s="4">
        <v>92</v>
      </c>
      <c r="I145" t="s">
        <v>20</v>
      </c>
      <c r="J145" s="1">
        <v>46174</v>
      </c>
      <c r="K145">
        <v>0.13300000000000001</v>
      </c>
      <c r="L145">
        <v>0.29299999999999998</v>
      </c>
      <c r="M145">
        <v>30</v>
      </c>
      <c r="N145">
        <v>27</v>
      </c>
    </row>
    <row r="146" spans="1:14" x14ac:dyDescent="0.25">
      <c r="A146" t="s">
        <v>16</v>
      </c>
      <c r="B146" t="s">
        <v>17</v>
      </c>
      <c r="C146" t="s">
        <v>18</v>
      </c>
      <c r="D146" s="3" t="str">
        <f>("027334")</f>
        <v>027334</v>
      </c>
      <c r="E146" t="str">
        <f>("622454273344")</f>
        <v>622454273344</v>
      </c>
      <c r="G146" t="s">
        <v>217</v>
      </c>
      <c r="H146" s="4">
        <v>268</v>
      </c>
      <c r="I146" t="s">
        <v>20</v>
      </c>
      <c r="J146" s="1">
        <v>46174</v>
      </c>
      <c r="K146">
        <v>0.20799999999999999</v>
      </c>
      <c r="L146">
        <v>0.45900000000000002</v>
      </c>
      <c r="M146">
        <v>20</v>
      </c>
      <c r="N146">
        <v>27</v>
      </c>
    </row>
    <row r="147" spans="1:14" x14ac:dyDescent="0.25">
      <c r="A147" t="s">
        <v>16</v>
      </c>
      <c r="B147" t="s">
        <v>17</v>
      </c>
      <c r="C147" t="s">
        <v>18</v>
      </c>
      <c r="D147" s="3" t="str">
        <f>("027336")</f>
        <v>027336</v>
      </c>
      <c r="E147" t="str">
        <f>("622454273368")</f>
        <v>622454273368</v>
      </c>
      <c r="G147" t="s">
        <v>218</v>
      </c>
      <c r="H147" s="4">
        <v>29.05</v>
      </c>
      <c r="I147" t="s">
        <v>20</v>
      </c>
      <c r="J147" s="1">
        <v>46174</v>
      </c>
      <c r="K147">
        <v>2.8000000000000001E-2</v>
      </c>
      <c r="L147">
        <v>6.2E-2</v>
      </c>
      <c r="M147">
        <v>90</v>
      </c>
      <c r="N147">
        <v>27</v>
      </c>
    </row>
    <row r="148" spans="1:14" x14ac:dyDescent="0.25">
      <c r="A148" t="s">
        <v>16</v>
      </c>
      <c r="B148" t="s">
        <v>17</v>
      </c>
      <c r="C148" t="s">
        <v>18</v>
      </c>
      <c r="D148" s="3" t="str">
        <f>("027340")</f>
        <v>027340</v>
      </c>
      <c r="E148" t="str">
        <f>("622454273405")</f>
        <v>622454273405</v>
      </c>
      <c r="G148" t="s">
        <v>219</v>
      </c>
      <c r="H148" s="4">
        <v>39.5</v>
      </c>
      <c r="I148" t="s">
        <v>20</v>
      </c>
      <c r="J148" s="1">
        <v>46174</v>
      </c>
      <c r="K148">
        <v>3.3000000000000002E-2</v>
      </c>
      <c r="L148">
        <v>7.2999999999999995E-2</v>
      </c>
      <c r="M148">
        <v>125</v>
      </c>
      <c r="N148">
        <v>27</v>
      </c>
    </row>
    <row r="149" spans="1:14" x14ac:dyDescent="0.25">
      <c r="A149" t="s">
        <v>16</v>
      </c>
      <c r="B149" t="s">
        <v>17</v>
      </c>
      <c r="C149" t="s">
        <v>18</v>
      </c>
      <c r="D149" s="3" t="str">
        <f>("027341")</f>
        <v>027341</v>
      </c>
      <c r="E149" t="str">
        <f>("622454273412")</f>
        <v>622454273412</v>
      </c>
      <c r="F149" t="s">
        <v>220</v>
      </c>
      <c r="G149" t="s">
        <v>221</v>
      </c>
      <c r="H149" s="4">
        <v>26.55</v>
      </c>
      <c r="I149" t="s">
        <v>20</v>
      </c>
      <c r="J149" s="1">
        <v>46174</v>
      </c>
      <c r="K149">
        <v>3.7999999999999999E-2</v>
      </c>
      <c r="L149">
        <v>8.4000000000000005E-2</v>
      </c>
      <c r="M149">
        <v>100</v>
      </c>
      <c r="N149">
        <v>27</v>
      </c>
    </row>
    <row r="150" spans="1:14" x14ac:dyDescent="0.25">
      <c r="A150" t="s">
        <v>16</v>
      </c>
      <c r="B150" t="s">
        <v>17</v>
      </c>
      <c r="C150" t="s">
        <v>18</v>
      </c>
      <c r="D150" s="3" t="str">
        <f>("027342")</f>
        <v>027342</v>
      </c>
      <c r="E150" t="str">
        <f>("622454273429")</f>
        <v>622454273429</v>
      </c>
      <c r="G150" t="s">
        <v>222</v>
      </c>
      <c r="H150" s="4">
        <v>51.15</v>
      </c>
      <c r="I150" t="s">
        <v>20</v>
      </c>
      <c r="J150" s="1">
        <v>46174</v>
      </c>
      <c r="K150">
        <v>0.05</v>
      </c>
      <c r="L150">
        <v>0.11</v>
      </c>
      <c r="M150">
        <v>75</v>
      </c>
      <c r="N150">
        <v>27</v>
      </c>
    </row>
    <row r="151" spans="1:14" x14ac:dyDescent="0.25">
      <c r="A151" t="s">
        <v>16</v>
      </c>
      <c r="B151" t="s">
        <v>17</v>
      </c>
      <c r="C151" t="s">
        <v>18</v>
      </c>
      <c r="D151" s="3" t="str">
        <f>("027343")</f>
        <v>027343</v>
      </c>
      <c r="E151" t="str">
        <f>("622454273436")</f>
        <v>622454273436</v>
      </c>
      <c r="G151" t="s">
        <v>223</v>
      </c>
      <c r="H151" s="4">
        <v>97</v>
      </c>
      <c r="I151" t="s">
        <v>20</v>
      </c>
      <c r="J151" s="1">
        <v>46174</v>
      </c>
      <c r="K151">
        <v>0.16900000000000001</v>
      </c>
      <c r="L151">
        <v>0.373</v>
      </c>
      <c r="M151">
        <v>30</v>
      </c>
      <c r="N151">
        <v>27</v>
      </c>
    </row>
    <row r="152" spans="1:14" x14ac:dyDescent="0.25">
      <c r="A152" t="s">
        <v>16</v>
      </c>
      <c r="B152" t="s">
        <v>17</v>
      </c>
      <c r="C152" t="s">
        <v>18</v>
      </c>
      <c r="D152" s="3" t="str">
        <f>("027344")</f>
        <v>027344</v>
      </c>
      <c r="E152" t="str">
        <f>("622454273443")</f>
        <v>622454273443</v>
      </c>
      <c r="G152" t="s">
        <v>224</v>
      </c>
      <c r="H152" s="4">
        <v>223</v>
      </c>
      <c r="I152" t="s">
        <v>20</v>
      </c>
      <c r="J152" s="1">
        <v>46174</v>
      </c>
      <c r="K152">
        <v>0.25700000000000001</v>
      </c>
      <c r="L152">
        <v>0.56699999999999995</v>
      </c>
      <c r="M152">
        <v>25</v>
      </c>
      <c r="N152">
        <v>27</v>
      </c>
    </row>
    <row r="153" spans="1:14" x14ac:dyDescent="0.25">
      <c r="A153" t="s">
        <v>16</v>
      </c>
      <c r="B153" t="s">
        <v>17</v>
      </c>
      <c r="C153" t="s">
        <v>18</v>
      </c>
      <c r="D153" s="3" t="str">
        <f>("027350")</f>
        <v>027350</v>
      </c>
      <c r="E153" t="str">
        <f>("622454273504")</f>
        <v>622454273504</v>
      </c>
      <c r="G153" t="s">
        <v>225</v>
      </c>
      <c r="H153" s="4">
        <v>32.1</v>
      </c>
      <c r="I153" t="s">
        <v>20</v>
      </c>
      <c r="J153" s="1">
        <v>46174</v>
      </c>
      <c r="K153">
        <v>2.5000000000000001E-2</v>
      </c>
      <c r="L153">
        <v>5.5E-2</v>
      </c>
      <c r="M153">
        <v>125</v>
      </c>
      <c r="N153">
        <v>27</v>
      </c>
    </row>
    <row r="154" spans="1:14" x14ac:dyDescent="0.25">
      <c r="A154" t="s">
        <v>16</v>
      </c>
      <c r="B154" t="s">
        <v>17</v>
      </c>
      <c r="C154" t="s">
        <v>18</v>
      </c>
      <c r="D154" s="3" t="str">
        <f>("027351")</f>
        <v>027351</v>
      </c>
      <c r="E154" t="str">
        <f>("622454273511")</f>
        <v>622454273511</v>
      </c>
      <c r="F154" t="s">
        <v>226</v>
      </c>
      <c r="G154" t="s">
        <v>227</v>
      </c>
      <c r="H154" s="4">
        <v>14.25</v>
      </c>
      <c r="I154" t="s">
        <v>20</v>
      </c>
      <c r="J154" s="1">
        <v>46174</v>
      </c>
      <c r="K154">
        <v>2.8000000000000001E-2</v>
      </c>
      <c r="L154">
        <v>6.2E-2</v>
      </c>
      <c r="M154">
        <v>125</v>
      </c>
      <c r="N154">
        <v>27</v>
      </c>
    </row>
    <row r="155" spans="1:14" x14ac:dyDescent="0.25">
      <c r="A155" t="s">
        <v>16</v>
      </c>
      <c r="B155" t="s">
        <v>17</v>
      </c>
      <c r="C155" t="s">
        <v>18</v>
      </c>
      <c r="D155" s="3" t="str">
        <f>("027352")</f>
        <v>027352</v>
      </c>
      <c r="E155" t="str">
        <f>("622454273528")</f>
        <v>622454273528</v>
      </c>
      <c r="F155" t="s">
        <v>228</v>
      </c>
      <c r="G155" t="s">
        <v>229</v>
      </c>
      <c r="H155" s="4">
        <v>22.25</v>
      </c>
      <c r="I155" t="s">
        <v>20</v>
      </c>
      <c r="J155" s="1">
        <v>46174</v>
      </c>
      <c r="K155">
        <v>0.04</v>
      </c>
      <c r="L155">
        <v>8.7999999999999995E-2</v>
      </c>
      <c r="M155">
        <v>100</v>
      </c>
      <c r="N155">
        <v>27</v>
      </c>
    </row>
    <row r="156" spans="1:14" x14ac:dyDescent="0.25">
      <c r="A156" t="s">
        <v>16</v>
      </c>
      <c r="B156" t="s">
        <v>17</v>
      </c>
      <c r="C156" t="s">
        <v>18</v>
      </c>
      <c r="D156" s="3" t="str">
        <f>("027353")</f>
        <v>027353</v>
      </c>
      <c r="E156" t="str">
        <f>("622454273535")</f>
        <v>622454273535</v>
      </c>
      <c r="F156" t="s">
        <v>230</v>
      </c>
      <c r="G156" t="s">
        <v>231</v>
      </c>
      <c r="H156" s="4">
        <v>54.2</v>
      </c>
      <c r="I156" t="s">
        <v>20</v>
      </c>
      <c r="J156" s="1">
        <v>46174</v>
      </c>
      <c r="K156">
        <v>0.14799999999999999</v>
      </c>
      <c r="L156">
        <v>0.32600000000000001</v>
      </c>
      <c r="M156">
        <v>45</v>
      </c>
      <c r="N156">
        <v>27</v>
      </c>
    </row>
    <row r="157" spans="1:14" x14ac:dyDescent="0.25">
      <c r="A157" t="s">
        <v>16</v>
      </c>
      <c r="B157" t="s">
        <v>17</v>
      </c>
      <c r="C157" t="s">
        <v>18</v>
      </c>
      <c r="D157" s="3" t="str">
        <f>("027354")</f>
        <v>027354</v>
      </c>
      <c r="E157" t="str">
        <f>("622454273542")</f>
        <v>622454273542</v>
      </c>
      <c r="F157" t="s">
        <v>232</v>
      </c>
      <c r="G157" t="s">
        <v>233</v>
      </c>
      <c r="H157" s="4">
        <v>104</v>
      </c>
      <c r="I157" t="s">
        <v>20</v>
      </c>
      <c r="J157" s="1">
        <v>46174</v>
      </c>
      <c r="K157">
        <v>0.25900000000000001</v>
      </c>
      <c r="L157">
        <v>0.57099999999999995</v>
      </c>
      <c r="M157">
        <v>25</v>
      </c>
      <c r="N157">
        <v>27</v>
      </c>
    </row>
    <row r="158" spans="1:14" x14ac:dyDescent="0.25">
      <c r="A158" t="s">
        <v>16</v>
      </c>
      <c r="B158" t="s">
        <v>17</v>
      </c>
      <c r="C158" t="s">
        <v>18</v>
      </c>
      <c r="D158" s="3" t="str">
        <f>("027356")</f>
        <v>027356</v>
      </c>
      <c r="E158" t="str">
        <f>("622454273566")</f>
        <v>622454273566</v>
      </c>
      <c r="F158" t="s">
        <v>234</v>
      </c>
      <c r="G158" t="s">
        <v>235</v>
      </c>
      <c r="H158" s="4">
        <v>583</v>
      </c>
      <c r="I158" t="s">
        <v>20</v>
      </c>
      <c r="J158" s="1">
        <v>46174</v>
      </c>
      <c r="K158">
        <v>0.72899999999999998</v>
      </c>
      <c r="L158">
        <v>1.607</v>
      </c>
      <c r="M158">
        <v>12</v>
      </c>
      <c r="N158">
        <v>27</v>
      </c>
    </row>
    <row r="159" spans="1:14" x14ac:dyDescent="0.25">
      <c r="A159" t="s">
        <v>16</v>
      </c>
      <c r="B159" t="s">
        <v>17</v>
      </c>
      <c r="C159" t="s">
        <v>18</v>
      </c>
      <c r="D159" s="3" t="str">
        <f>("027357")</f>
        <v>027357</v>
      </c>
      <c r="E159" t="str">
        <f>("622454273573")</f>
        <v>622454273573</v>
      </c>
      <c r="G159" t="s">
        <v>236</v>
      </c>
      <c r="H159" s="4">
        <v>205</v>
      </c>
      <c r="I159" t="s">
        <v>20</v>
      </c>
      <c r="J159" s="1">
        <v>46174</v>
      </c>
      <c r="K159">
        <v>0.441</v>
      </c>
      <c r="L159">
        <v>0.97199999999999998</v>
      </c>
      <c r="M159">
        <v>15</v>
      </c>
      <c r="N159">
        <v>27</v>
      </c>
    </row>
    <row r="160" spans="1:14" x14ac:dyDescent="0.25">
      <c r="A160" t="s">
        <v>16</v>
      </c>
      <c r="B160" t="s">
        <v>17</v>
      </c>
      <c r="C160" t="s">
        <v>18</v>
      </c>
      <c r="D160" s="3" t="str">
        <f>("027360")</f>
        <v>027360</v>
      </c>
      <c r="E160" t="str">
        <f>("622454273603")</f>
        <v>622454273603</v>
      </c>
      <c r="G160" t="s">
        <v>237</v>
      </c>
      <c r="H160" s="4">
        <v>44.95</v>
      </c>
      <c r="I160" t="s">
        <v>20</v>
      </c>
      <c r="J160" s="1">
        <v>46174</v>
      </c>
      <c r="K160">
        <v>3.5000000000000003E-2</v>
      </c>
      <c r="L160">
        <v>7.6999999999999999E-2</v>
      </c>
      <c r="M160">
        <v>125</v>
      </c>
      <c r="N160">
        <v>27</v>
      </c>
    </row>
    <row r="161" spans="1:14" x14ac:dyDescent="0.25">
      <c r="A161" t="s">
        <v>16</v>
      </c>
      <c r="B161" t="s">
        <v>17</v>
      </c>
      <c r="C161" t="s">
        <v>18</v>
      </c>
      <c r="D161" s="3" t="str">
        <f>("027362")</f>
        <v>027362</v>
      </c>
      <c r="E161" t="str">
        <f>("622454273627")</f>
        <v>622454273627</v>
      </c>
      <c r="G161" t="s">
        <v>238</v>
      </c>
      <c r="H161" s="4">
        <v>38.9</v>
      </c>
      <c r="I161" t="s">
        <v>20</v>
      </c>
      <c r="J161" s="1">
        <v>46174</v>
      </c>
      <c r="K161">
        <v>4.5999999999999999E-2</v>
      </c>
      <c r="L161">
        <v>0.10100000000000001</v>
      </c>
      <c r="M161">
        <v>75</v>
      </c>
      <c r="N161">
        <v>27</v>
      </c>
    </row>
    <row r="162" spans="1:14" x14ac:dyDescent="0.25">
      <c r="A162" t="s">
        <v>16</v>
      </c>
      <c r="B162" t="s">
        <v>17</v>
      </c>
      <c r="C162" t="s">
        <v>18</v>
      </c>
      <c r="D162" s="3" t="str">
        <f>("027363")</f>
        <v>027363</v>
      </c>
      <c r="E162" t="str">
        <f>("622454273634")</f>
        <v>622454273634</v>
      </c>
      <c r="G162" t="s">
        <v>239</v>
      </c>
      <c r="H162" s="4">
        <v>97</v>
      </c>
      <c r="I162" t="s">
        <v>20</v>
      </c>
      <c r="J162" s="1">
        <v>46174</v>
      </c>
      <c r="K162">
        <v>0.13100000000000001</v>
      </c>
      <c r="L162">
        <v>0.28899999999999998</v>
      </c>
      <c r="M162">
        <v>35</v>
      </c>
      <c r="N162">
        <v>27</v>
      </c>
    </row>
    <row r="163" spans="1:14" x14ac:dyDescent="0.25">
      <c r="A163" t="s">
        <v>16</v>
      </c>
      <c r="B163" t="s">
        <v>17</v>
      </c>
      <c r="C163" t="s">
        <v>18</v>
      </c>
      <c r="D163" s="3" t="str">
        <f>("027364")</f>
        <v>027364</v>
      </c>
      <c r="E163" t="str">
        <f>("622454273641")</f>
        <v>622454273641</v>
      </c>
      <c r="G163" t="s">
        <v>240</v>
      </c>
      <c r="H163" s="4">
        <v>90</v>
      </c>
      <c r="I163" t="s">
        <v>20</v>
      </c>
      <c r="J163" s="1">
        <v>46174</v>
      </c>
      <c r="K163">
        <v>0.125</v>
      </c>
      <c r="L163">
        <v>0.27600000000000002</v>
      </c>
      <c r="M163">
        <v>35</v>
      </c>
      <c r="N163">
        <v>27</v>
      </c>
    </row>
    <row r="164" spans="1:14" x14ac:dyDescent="0.25">
      <c r="A164" t="s">
        <v>16</v>
      </c>
      <c r="B164" t="s">
        <v>17</v>
      </c>
      <c r="C164" t="s">
        <v>18</v>
      </c>
      <c r="D164" s="3" t="str">
        <f>("027365")</f>
        <v>027365</v>
      </c>
      <c r="E164" t="str">
        <f>("622454273658")</f>
        <v>622454273658</v>
      </c>
      <c r="G164" t="s">
        <v>241</v>
      </c>
      <c r="H164" s="4">
        <v>146</v>
      </c>
      <c r="I164" t="s">
        <v>20</v>
      </c>
      <c r="J164" s="1">
        <v>46174</v>
      </c>
      <c r="K164">
        <v>0.23300000000000001</v>
      </c>
      <c r="L164">
        <v>0.51400000000000001</v>
      </c>
      <c r="M164">
        <v>20</v>
      </c>
      <c r="N164">
        <v>27</v>
      </c>
    </row>
    <row r="165" spans="1:14" x14ac:dyDescent="0.25">
      <c r="A165" t="s">
        <v>16</v>
      </c>
      <c r="B165" t="s">
        <v>17</v>
      </c>
      <c r="C165" t="s">
        <v>18</v>
      </c>
      <c r="D165" s="3" t="str">
        <f>("027366")</f>
        <v>027366</v>
      </c>
      <c r="E165" t="str">
        <f>("622454273665")</f>
        <v>622454273665</v>
      </c>
      <c r="F165" t="s">
        <v>242</v>
      </c>
      <c r="G165" t="s">
        <v>243</v>
      </c>
      <c r="H165" s="4">
        <v>128</v>
      </c>
      <c r="I165" t="s">
        <v>20</v>
      </c>
      <c r="J165" s="1">
        <v>46174</v>
      </c>
      <c r="K165">
        <v>0.24</v>
      </c>
      <c r="L165">
        <v>0.52900000000000003</v>
      </c>
      <c r="M165">
        <v>30</v>
      </c>
      <c r="N165">
        <v>27</v>
      </c>
    </row>
    <row r="166" spans="1:14" x14ac:dyDescent="0.25">
      <c r="A166" t="s">
        <v>16</v>
      </c>
      <c r="B166" t="s">
        <v>17</v>
      </c>
      <c r="C166" t="s">
        <v>18</v>
      </c>
      <c r="D166" s="3" t="str">
        <f>("027369")</f>
        <v>027369</v>
      </c>
      <c r="E166" t="str">
        <f>("622454273696")</f>
        <v>622454273696</v>
      </c>
      <c r="G166" t="s">
        <v>244</v>
      </c>
      <c r="H166" s="4">
        <v>146</v>
      </c>
      <c r="I166" t="s">
        <v>20</v>
      </c>
      <c r="J166" s="1">
        <v>46174</v>
      </c>
      <c r="K166">
        <v>0.24299999999999999</v>
      </c>
      <c r="L166">
        <v>0.53600000000000003</v>
      </c>
      <c r="M166">
        <v>20</v>
      </c>
      <c r="N166">
        <v>27</v>
      </c>
    </row>
    <row r="167" spans="1:14" x14ac:dyDescent="0.25">
      <c r="A167" t="s">
        <v>16</v>
      </c>
      <c r="B167" t="s">
        <v>17</v>
      </c>
      <c r="C167" t="s">
        <v>18</v>
      </c>
      <c r="D167" s="3" t="str">
        <f>("027376")</f>
        <v>027376</v>
      </c>
      <c r="E167" t="str">
        <f>("622454273764")</f>
        <v>622454273764</v>
      </c>
      <c r="G167" t="s">
        <v>245</v>
      </c>
      <c r="H167" s="4">
        <v>171</v>
      </c>
      <c r="I167" t="s">
        <v>20</v>
      </c>
      <c r="J167" s="1">
        <v>46174</v>
      </c>
      <c r="K167">
        <v>0.16200000000000001</v>
      </c>
      <c r="L167">
        <v>0.35699999999999998</v>
      </c>
      <c r="M167">
        <v>40</v>
      </c>
      <c r="N167">
        <v>27</v>
      </c>
    </row>
    <row r="168" spans="1:14" x14ac:dyDescent="0.25">
      <c r="A168" t="s">
        <v>16</v>
      </c>
      <c r="B168" t="s">
        <v>17</v>
      </c>
      <c r="C168" t="s">
        <v>18</v>
      </c>
      <c r="D168" s="3" t="str">
        <f>("027406")</f>
        <v>027406</v>
      </c>
      <c r="E168" t="str">
        <f>("622454274068")</f>
        <v>622454274068</v>
      </c>
      <c r="F168" t="s">
        <v>246</v>
      </c>
      <c r="G168" t="s">
        <v>247</v>
      </c>
      <c r="H168" s="4">
        <v>463</v>
      </c>
      <c r="I168" t="s">
        <v>20</v>
      </c>
      <c r="J168" s="1">
        <v>46174</v>
      </c>
      <c r="K168">
        <v>0.32200000000000001</v>
      </c>
      <c r="L168">
        <v>0.71</v>
      </c>
      <c r="M168">
        <v>20</v>
      </c>
      <c r="N168">
        <v>27</v>
      </c>
    </row>
    <row r="169" spans="1:14" x14ac:dyDescent="0.25">
      <c r="A169" t="s">
        <v>16</v>
      </c>
      <c r="B169" t="s">
        <v>17</v>
      </c>
      <c r="C169" t="s">
        <v>18</v>
      </c>
      <c r="D169" s="3" t="str">
        <f>("027410")</f>
        <v>027410</v>
      </c>
      <c r="E169" t="str">
        <f>("622454274105")</f>
        <v>622454274105</v>
      </c>
      <c r="G169" t="s">
        <v>248</v>
      </c>
      <c r="H169" s="4">
        <v>47.4</v>
      </c>
      <c r="I169" t="s">
        <v>20</v>
      </c>
      <c r="J169" s="1">
        <v>46174</v>
      </c>
      <c r="K169">
        <v>2.1999999999999999E-2</v>
      </c>
      <c r="L169">
        <v>4.9000000000000002E-2</v>
      </c>
      <c r="M169">
        <v>120</v>
      </c>
      <c r="N169">
        <v>27</v>
      </c>
    </row>
    <row r="170" spans="1:14" x14ac:dyDescent="0.25">
      <c r="A170" t="s">
        <v>16</v>
      </c>
      <c r="B170" t="s">
        <v>17</v>
      </c>
      <c r="C170" t="s">
        <v>18</v>
      </c>
      <c r="D170" s="3" t="str">
        <f>("027411")</f>
        <v>027411</v>
      </c>
      <c r="E170" t="str">
        <f>("622454274112")</f>
        <v>622454274112</v>
      </c>
      <c r="F170" t="s">
        <v>249</v>
      </c>
      <c r="G170" t="s">
        <v>250</v>
      </c>
      <c r="H170" s="4">
        <v>25.3</v>
      </c>
      <c r="I170" t="s">
        <v>20</v>
      </c>
      <c r="J170" s="1">
        <v>46174</v>
      </c>
      <c r="K170">
        <v>2.8000000000000001E-2</v>
      </c>
      <c r="L170">
        <v>6.2E-2</v>
      </c>
      <c r="M170">
        <v>80</v>
      </c>
      <c r="N170">
        <v>27</v>
      </c>
    </row>
    <row r="171" spans="1:14" x14ac:dyDescent="0.25">
      <c r="A171" t="s">
        <v>16</v>
      </c>
      <c r="B171" t="s">
        <v>17</v>
      </c>
      <c r="C171" t="s">
        <v>18</v>
      </c>
      <c r="D171" s="3" t="str">
        <f>("027413")</f>
        <v>027413</v>
      </c>
      <c r="E171" t="str">
        <f>("622454274136")</f>
        <v>622454274136</v>
      </c>
      <c r="G171" t="s">
        <v>251</v>
      </c>
      <c r="H171" s="4">
        <v>135</v>
      </c>
      <c r="I171" t="s">
        <v>20</v>
      </c>
      <c r="J171" s="1">
        <v>46174</v>
      </c>
      <c r="K171">
        <v>0.115</v>
      </c>
      <c r="L171">
        <v>0.254</v>
      </c>
      <c r="M171">
        <v>30</v>
      </c>
      <c r="N171">
        <v>27</v>
      </c>
    </row>
    <row r="172" spans="1:14" x14ac:dyDescent="0.25">
      <c r="A172" t="s">
        <v>16</v>
      </c>
      <c r="B172" t="s">
        <v>17</v>
      </c>
      <c r="C172" t="s">
        <v>18</v>
      </c>
      <c r="D172" s="3" t="str">
        <f>("027414")</f>
        <v>027414</v>
      </c>
      <c r="E172" t="str">
        <f>("622454274143")</f>
        <v>622454274143</v>
      </c>
      <c r="G172" t="s">
        <v>252</v>
      </c>
      <c r="H172" s="4">
        <v>145</v>
      </c>
      <c r="I172" t="s">
        <v>20</v>
      </c>
      <c r="J172" s="1">
        <v>46174</v>
      </c>
      <c r="K172">
        <v>0.2</v>
      </c>
      <c r="L172">
        <v>0.441</v>
      </c>
      <c r="M172">
        <v>25</v>
      </c>
      <c r="N172">
        <v>27</v>
      </c>
    </row>
    <row r="173" spans="1:14" x14ac:dyDescent="0.25">
      <c r="A173" t="s">
        <v>16</v>
      </c>
      <c r="B173" t="s">
        <v>17</v>
      </c>
      <c r="C173" t="s">
        <v>18</v>
      </c>
      <c r="D173" s="3" t="str">
        <f>("027415")</f>
        <v>027415</v>
      </c>
      <c r="E173" t="str">
        <f>("622454274150")</f>
        <v>622454274150</v>
      </c>
      <c r="G173" t="s">
        <v>253</v>
      </c>
      <c r="H173" s="4">
        <v>40.700000000000003</v>
      </c>
      <c r="I173" t="s">
        <v>20</v>
      </c>
      <c r="J173" s="1">
        <v>46174</v>
      </c>
      <c r="K173">
        <v>3.5000000000000003E-2</v>
      </c>
      <c r="L173">
        <v>7.6999999999999999E-2</v>
      </c>
      <c r="M173">
        <v>110</v>
      </c>
      <c r="N173">
        <v>27</v>
      </c>
    </row>
    <row r="174" spans="1:14" x14ac:dyDescent="0.25">
      <c r="A174" t="s">
        <v>16</v>
      </c>
      <c r="B174" t="s">
        <v>17</v>
      </c>
      <c r="C174" t="s">
        <v>18</v>
      </c>
      <c r="D174" s="3" t="str">
        <f>("027430")</f>
        <v>027430</v>
      </c>
      <c r="E174" t="str">
        <f>("622454274303")</f>
        <v>622454274303</v>
      </c>
      <c r="G174" t="s">
        <v>254</v>
      </c>
      <c r="H174" s="4">
        <v>228</v>
      </c>
      <c r="I174" t="s">
        <v>20</v>
      </c>
      <c r="J174" s="1">
        <v>46174</v>
      </c>
      <c r="K174">
        <v>0.126</v>
      </c>
      <c r="L174">
        <v>0.27800000000000002</v>
      </c>
      <c r="M174">
        <v>20</v>
      </c>
      <c r="N174">
        <v>27</v>
      </c>
    </row>
    <row r="175" spans="1:14" x14ac:dyDescent="0.25">
      <c r="A175" t="s">
        <v>16</v>
      </c>
      <c r="B175" t="s">
        <v>17</v>
      </c>
      <c r="C175" t="s">
        <v>18</v>
      </c>
      <c r="D175" s="3" t="str">
        <f>("027431")</f>
        <v>027431</v>
      </c>
      <c r="E175" t="str">
        <f>("622454274310")</f>
        <v>622454274310</v>
      </c>
      <c r="G175" t="s">
        <v>255</v>
      </c>
      <c r="H175" s="4">
        <v>73</v>
      </c>
      <c r="I175" t="s">
        <v>20</v>
      </c>
      <c r="J175" s="1">
        <v>46174</v>
      </c>
      <c r="K175">
        <v>0.14299999999999999</v>
      </c>
      <c r="L175">
        <v>0.315</v>
      </c>
      <c r="M175">
        <v>40</v>
      </c>
      <c r="N175">
        <v>27</v>
      </c>
    </row>
    <row r="176" spans="1:14" x14ac:dyDescent="0.25">
      <c r="A176" t="s">
        <v>16</v>
      </c>
      <c r="B176" t="s">
        <v>17</v>
      </c>
      <c r="C176" t="s">
        <v>18</v>
      </c>
      <c r="D176" s="3" t="str">
        <f>("027432")</f>
        <v>027432</v>
      </c>
      <c r="E176" t="str">
        <f>("622454274327")</f>
        <v>622454274327</v>
      </c>
      <c r="F176" t="s">
        <v>256</v>
      </c>
      <c r="G176" t="s">
        <v>257</v>
      </c>
      <c r="H176" s="4">
        <v>173</v>
      </c>
      <c r="I176" t="s">
        <v>20</v>
      </c>
      <c r="J176" s="1">
        <v>46174</v>
      </c>
      <c r="K176">
        <v>0.28499999999999998</v>
      </c>
      <c r="L176">
        <v>0.628</v>
      </c>
      <c r="M176">
        <v>20</v>
      </c>
      <c r="N176">
        <v>27</v>
      </c>
    </row>
    <row r="177" spans="1:15" x14ac:dyDescent="0.25">
      <c r="A177" t="s">
        <v>16</v>
      </c>
      <c r="B177" t="s">
        <v>17</v>
      </c>
      <c r="C177" t="s">
        <v>18</v>
      </c>
      <c r="D177" s="3" t="str">
        <f>("027433")</f>
        <v>027433</v>
      </c>
      <c r="E177" t="str">
        <f>("622454274334")</f>
        <v>622454274334</v>
      </c>
      <c r="F177" t="s">
        <v>258</v>
      </c>
      <c r="G177" t="s">
        <v>259</v>
      </c>
      <c r="H177" s="4">
        <v>404</v>
      </c>
      <c r="I177" t="s">
        <v>20</v>
      </c>
      <c r="J177" s="1">
        <v>46174</v>
      </c>
      <c r="K177">
        <v>0.84499999999999997</v>
      </c>
      <c r="L177">
        <v>1.863</v>
      </c>
      <c r="M177">
        <v>10</v>
      </c>
      <c r="N177">
        <v>27</v>
      </c>
    </row>
    <row r="178" spans="1:15" x14ac:dyDescent="0.25">
      <c r="A178" t="s">
        <v>16</v>
      </c>
      <c r="B178" t="s">
        <v>17</v>
      </c>
      <c r="C178" t="s">
        <v>18</v>
      </c>
      <c r="D178" s="3" t="str">
        <f>("027434")</f>
        <v>027434</v>
      </c>
      <c r="E178" t="str">
        <f>("622454274341")</f>
        <v>622454274341</v>
      </c>
      <c r="F178" t="s">
        <v>260</v>
      </c>
      <c r="G178" t="s">
        <v>261</v>
      </c>
      <c r="H178" s="4">
        <v>790</v>
      </c>
      <c r="I178" t="s">
        <v>20</v>
      </c>
      <c r="J178" s="1">
        <v>46174</v>
      </c>
      <c r="K178">
        <v>1.589</v>
      </c>
      <c r="L178">
        <v>3.5030000000000001</v>
      </c>
      <c r="M178">
        <v>6</v>
      </c>
      <c r="N178">
        <v>27</v>
      </c>
    </row>
    <row r="179" spans="1:15" x14ac:dyDescent="0.25">
      <c r="A179" t="s">
        <v>16</v>
      </c>
      <c r="B179" t="s">
        <v>17</v>
      </c>
      <c r="C179" t="s">
        <v>18</v>
      </c>
      <c r="D179" s="3" t="str">
        <f>("027440")</f>
        <v>027440</v>
      </c>
      <c r="E179" t="str">
        <f>("622454274402")</f>
        <v>622454274402</v>
      </c>
      <c r="G179" t="s">
        <v>262</v>
      </c>
      <c r="H179" s="4">
        <v>259</v>
      </c>
      <c r="I179" t="s">
        <v>20</v>
      </c>
      <c r="J179" s="1">
        <v>46174</v>
      </c>
      <c r="K179">
        <v>0.14000000000000001</v>
      </c>
      <c r="L179">
        <v>0.309</v>
      </c>
      <c r="M179">
        <v>20</v>
      </c>
      <c r="N179">
        <v>27</v>
      </c>
    </row>
    <row r="180" spans="1:15" x14ac:dyDescent="0.25">
      <c r="A180" t="s">
        <v>16</v>
      </c>
      <c r="B180" t="s">
        <v>17</v>
      </c>
      <c r="C180" t="s">
        <v>18</v>
      </c>
      <c r="D180" s="3" t="str">
        <f>("027441")</f>
        <v>027441</v>
      </c>
      <c r="E180" t="str">
        <f>("622454274419")</f>
        <v>622454274419</v>
      </c>
      <c r="G180" t="s">
        <v>263</v>
      </c>
      <c r="H180" s="4">
        <v>89</v>
      </c>
      <c r="I180" t="s">
        <v>20</v>
      </c>
      <c r="J180" s="1">
        <v>46174</v>
      </c>
      <c r="K180">
        <v>0.157</v>
      </c>
      <c r="L180">
        <v>0.34599999999999997</v>
      </c>
      <c r="M180">
        <v>40</v>
      </c>
      <c r="N180">
        <v>27</v>
      </c>
    </row>
    <row r="181" spans="1:15" x14ac:dyDescent="0.25">
      <c r="A181" t="s">
        <v>16</v>
      </c>
      <c r="B181" t="s">
        <v>17</v>
      </c>
      <c r="C181" t="s">
        <v>18</v>
      </c>
      <c r="D181" s="3" t="str">
        <f>("027442")</f>
        <v>027442</v>
      </c>
      <c r="E181" t="str">
        <f>("622454274426")</f>
        <v>622454274426</v>
      </c>
      <c r="G181" t="s">
        <v>264</v>
      </c>
      <c r="H181" s="4">
        <v>310</v>
      </c>
      <c r="I181" t="s">
        <v>20</v>
      </c>
      <c r="J181" s="1">
        <v>46174</v>
      </c>
      <c r="K181">
        <v>0.29899999999999999</v>
      </c>
      <c r="L181">
        <v>0.65900000000000003</v>
      </c>
      <c r="M181">
        <v>20</v>
      </c>
      <c r="N181">
        <v>27</v>
      </c>
    </row>
    <row r="182" spans="1:15" x14ac:dyDescent="0.25">
      <c r="A182" t="s">
        <v>16</v>
      </c>
      <c r="B182" t="s">
        <v>17</v>
      </c>
      <c r="C182" t="s">
        <v>18</v>
      </c>
      <c r="D182" s="3" t="str">
        <f>("027443")</f>
        <v>027443</v>
      </c>
      <c r="E182" t="str">
        <f>("622454274433")</f>
        <v>622454274433</v>
      </c>
      <c r="G182" t="s">
        <v>265</v>
      </c>
      <c r="H182" s="4">
        <v>319</v>
      </c>
      <c r="I182" t="s">
        <v>20</v>
      </c>
      <c r="J182" s="1">
        <v>46174</v>
      </c>
      <c r="K182">
        <v>0.32600000000000001</v>
      </c>
      <c r="L182">
        <v>0.71899999999999997</v>
      </c>
      <c r="M182">
        <v>15</v>
      </c>
      <c r="N182">
        <v>27</v>
      </c>
    </row>
    <row r="183" spans="1:15" x14ac:dyDescent="0.25">
      <c r="A183" t="s">
        <v>16</v>
      </c>
      <c r="B183" t="s">
        <v>17</v>
      </c>
      <c r="C183" t="s">
        <v>18</v>
      </c>
      <c r="D183" s="3" t="str">
        <f>("027450")</f>
        <v>027450</v>
      </c>
      <c r="E183" t="str">
        <f>("622454274501")</f>
        <v>622454274501</v>
      </c>
      <c r="G183" t="s">
        <v>266</v>
      </c>
      <c r="H183" s="4">
        <v>249</v>
      </c>
      <c r="I183" t="s">
        <v>20</v>
      </c>
      <c r="J183" s="1">
        <v>46174</v>
      </c>
      <c r="K183">
        <v>0.2</v>
      </c>
      <c r="L183">
        <v>0.441</v>
      </c>
      <c r="M183">
        <v>10</v>
      </c>
      <c r="N183">
        <v>27</v>
      </c>
      <c r="O183" t="s">
        <v>267</v>
      </c>
    </row>
    <row r="184" spans="1:15" x14ac:dyDescent="0.25">
      <c r="A184" t="s">
        <v>16</v>
      </c>
      <c r="B184" t="s">
        <v>17</v>
      </c>
      <c r="C184" t="s">
        <v>18</v>
      </c>
      <c r="D184" s="3" t="str">
        <f>("027451")</f>
        <v>027451</v>
      </c>
      <c r="E184" t="str">
        <f>("622454274518")</f>
        <v>622454274518</v>
      </c>
      <c r="G184" t="s">
        <v>268</v>
      </c>
      <c r="H184" s="4">
        <v>161</v>
      </c>
      <c r="I184" t="s">
        <v>20</v>
      </c>
      <c r="J184" s="1">
        <v>46174</v>
      </c>
      <c r="K184">
        <v>0.20699999999999999</v>
      </c>
      <c r="L184">
        <v>0.45600000000000002</v>
      </c>
      <c r="M184">
        <v>20</v>
      </c>
      <c r="N184">
        <v>27</v>
      </c>
    </row>
    <row r="185" spans="1:15" x14ac:dyDescent="0.25">
      <c r="A185" t="s">
        <v>16</v>
      </c>
      <c r="B185" t="s">
        <v>17</v>
      </c>
      <c r="C185" t="s">
        <v>18</v>
      </c>
      <c r="D185" s="3" t="str">
        <f>("027468")</f>
        <v>027468</v>
      </c>
      <c r="E185" t="str">
        <f>("622454274686")</f>
        <v>622454274686</v>
      </c>
      <c r="F185" t="s">
        <v>269</v>
      </c>
      <c r="G185" t="s">
        <v>270</v>
      </c>
      <c r="H185" s="4">
        <v>98</v>
      </c>
      <c r="I185" t="s">
        <v>20</v>
      </c>
      <c r="J185" s="1">
        <v>46174</v>
      </c>
      <c r="K185">
        <v>0.17399999999999999</v>
      </c>
      <c r="L185">
        <v>0.38400000000000001</v>
      </c>
      <c r="M185">
        <v>40</v>
      </c>
      <c r="N185">
        <v>27</v>
      </c>
    </row>
    <row r="186" spans="1:15" x14ac:dyDescent="0.25">
      <c r="A186" t="s">
        <v>16</v>
      </c>
      <c r="B186" t="s">
        <v>17</v>
      </c>
      <c r="C186" t="s">
        <v>18</v>
      </c>
      <c r="D186" s="3" t="str">
        <f>("027471")</f>
        <v>027471</v>
      </c>
      <c r="E186" t="str">
        <f>("622454274716")</f>
        <v>622454274716</v>
      </c>
      <c r="F186" s="2" t="s">
        <v>271</v>
      </c>
      <c r="G186" t="s">
        <v>272</v>
      </c>
      <c r="H186" s="4">
        <v>96</v>
      </c>
      <c r="I186" t="s">
        <v>20</v>
      </c>
      <c r="J186" s="1">
        <v>46174</v>
      </c>
      <c r="K186">
        <v>0.16900000000000001</v>
      </c>
      <c r="L186">
        <v>0.373</v>
      </c>
      <c r="M186">
        <v>40</v>
      </c>
      <c r="N186">
        <v>27</v>
      </c>
    </row>
    <row r="187" spans="1:15" x14ac:dyDescent="0.25">
      <c r="A187" t="s">
        <v>16</v>
      </c>
      <c r="B187" t="s">
        <v>17</v>
      </c>
      <c r="C187" t="s">
        <v>18</v>
      </c>
      <c r="D187" s="3" t="str">
        <f>("027472")</f>
        <v>027472</v>
      </c>
      <c r="E187" t="str">
        <f>("622454274723")</f>
        <v>622454274723</v>
      </c>
      <c r="F187" s="2" t="s">
        <v>273</v>
      </c>
      <c r="G187" t="s">
        <v>274</v>
      </c>
      <c r="H187" s="4">
        <v>235</v>
      </c>
      <c r="I187" t="s">
        <v>20</v>
      </c>
      <c r="J187" s="1">
        <v>46174</v>
      </c>
      <c r="K187">
        <v>0.30099999999999999</v>
      </c>
      <c r="L187">
        <v>0.66400000000000003</v>
      </c>
      <c r="M187">
        <v>20</v>
      </c>
      <c r="N187">
        <v>27</v>
      </c>
    </row>
    <row r="188" spans="1:15" x14ac:dyDescent="0.25">
      <c r="A188" t="s">
        <v>16</v>
      </c>
      <c r="B188" t="s">
        <v>17</v>
      </c>
      <c r="C188" t="s">
        <v>18</v>
      </c>
      <c r="D188" s="3" t="str">
        <f>("027476")</f>
        <v>027476</v>
      </c>
      <c r="E188" t="str">
        <f>("622454274761")</f>
        <v>622454274761</v>
      </c>
      <c r="F188" t="s">
        <v>275</v>
      </c>
      <c r="G188" t="s">
        <v>276</v>
      </c>
      <c r="H188" s="4">
        <v>62</v>
      </c>
      <c r="I188" t="s">
        <v>20</v>
      </c>
      <c r="J188" s="1">
        <v>46174</v>
      </c>
      <c r="K188">
        <v>3.3000000000000002E-2</v>
      </c>
      <c r="L188">
        <v>7.2999999999999995E-2</v>
      </c>
      <c r="M188">
        <v>100</v>
      </c>
      <c r="N188">
        <v>27</v>
      </c>
    </row>
    <row r="189" spans="1:15" x14ac:dyDescent="0.25">
      <c r="A189" t="s">
        <v>16</v>
      </c>
      <c r="B189" t="s">
        <v>17</v>
      </c>
      <c r="C189" t="s">
        <v>18</v>
      </c>
      <c r="D189" s="3" t="str">
        <f>("027477")</f>
        <v>027477</v>
      </c>
      <c r="E189" t="str">
        <f>("622454274778")</f>
        <v>622454274778</v>
      </c>
      <c r="F189" t="s">
        <v>277</v>
      </c>
      <c r="G189" t="s">
        <v>278</v>
      </c>
      <c r="H189" s="4">
        <v>43.75</v>
      </c>
      <c r="I189" t="s">
        <v>20</v>
      </c>
      <c r="J189" s="1">
        <v>46174</v>
      </c>
      <c r="K189">
        <v>3.9E-2</v>
      </c>
      <c r="L189">
        <v>8.5999999999999993E-2</v>
      </c>
      <c r="M189">
        <v>100</v>
      </c>
      <c r="N189">
        <v>27</v>
      </c>
    </row>
    <row r="190" spans="1:15" x14ac:dyDescent="0.25">
      <c r="A190" t="s">
        <v>16</v>
      </c>
      <c r="B190" t="s">
        <v>17</v>
      </c>
      <c r="C190" t="s">
        <v>18</v>
      </c>
      <c r="D190" s="3" t="str">
        <f>("027478")</f>
        <v>027478</v>
      </c>
      <c r="E190" t="str">
        <f>("622454274785")</f>
        <v>622454274785</v>
      </c>
      <c r="F190" t="s">
        <v>279</v>
      </c>
      <c r="G190" t="s">
        <v>280</v>
      </c>
      <c r="H190" s="4">
        <v>46.2</v>
      </c>
      <c r="I190" t="s">
        <v>20</v>
      </c>
      <c r="J190" s="1">
        <v>46174</v>
      </c>
      <c r="K190">
        <v>3.5000000000000003E-2</v>
      </c>
      <c r="L190">
        <v>7.6999999999999999E-2</v>
      </c>
      <c r="M190">
        <v>100</v>
      </c>
      <c r="N190">
        <v>27</v>
      </c>
    </row>
    <row r="191" spans="1:15" x14ac:dyDescent="0.25">
      <c r="A191" t="s">
        <v>16</v>
      </c>
      <c r="B191" t="s">
        <v>17</v>
      </c>
      <c r="C191" t="s">
        <v>18</v>
      </c>
      <c r="D191" s="3" t="str">
        <f>("027500")</f>
        <v>027500</v>
      </c>
      <c r="E191" t="str">
        <f>("622454275003")</f>
        <v>622454275003</v>
      </c>
      <c r="G191" t="s">
        <v>281</v>
      </c>
      <c r="H191" s="4">
        <v>42.5</v>
      </c>
      <c r="I191" t="s">
        <v>20</v>
      </c>
      <c r="J191" s="1">
        <v>46174</v>
      </c>
      <c r="K191">
        <v>2.1999999999999999E-2</v>
      </c>
      <c r="L191">
        <v>4.9000000000000002E-2</v>
      </c>
      <c r="M191">
        <v>130</v>
      </c>
      <c r="N191">
        <v>27</v>
      </c>
    </row>
    <row r="192" spans="1:15" x14ac:dyDescent="0.25">
      <c r="A192" t="s">
        <v>16</v>
      </c>
      <c r="B192" t="s">
        <v>17</v>
      </c>
      <c r="C192" t="s">
        <v>18</v>
      </c>
      <c r="D192" s="3" t="str">
        <f>("027501")</f>
        <v>027501</v>
      </c>
      <c r="E192" t="str">
        <f>("622454275010")</f>
        <v>622454275010</v>
      </c>
      <c r="G192" t="s">
        <v>282</v>
      </c>
      <c r="H192" s="4">
        <v>29.65</v>
      </c>
      <c r="I192" t="s">
        <v>20</v>
      </c>
      <c r="J192" s="1">
        <v>46174</v>
      </c>
      <c r="K192">
        <v>2.5000000000000001E-2</v>
      </c>
      <c r="L192">
        <v>5.5E-2</v>
      </c>
      <c r="M192">
        <v>100</v>
      </c>
      <c r="N192">
        <v>27</v>
      </c>
    </row>
    <row r="193" spans="1:15" x14ac:dyDescent="0.25">
      <c r="A193" t="s">
        <v>16</v>
      </c>
      <c r="B193" t="s">
        <v>17</v>
      </c>
      <c r="C193" t="s">
        <v>18</v>
      </c>
      <c r="D193" s="3" t="str">
        <f>("027502")</f>
        <v>027502</v>
      </c>
      <c r="E193" t="str">
        <f>("622454275027")</f>
        <v>622454275027</v>
      </c>
      <c r="G193" t="s">
        <v>283</v>
      </c>
      <c r="H193" s="4">
        <v>38.200000000000003</v>
      </c>
      <c r="I193" t="s">
        <v>20</v>
      </c>
      <c r="J193" s="1">
        <v>46174</v>
      </c>
      <c r="K193">
        <v>3.6999999999999998E-2</v>
      </c>
      <c r="L193">
        <v>8.2000000000000003E-2</v>
      </c>
      <c r="M193">
        <v>150</v>
      </c>
      <c r="N193">
        <v>27</v>
      </c>
    </row>
    <row r="194" spans="1:15" x14ac:dyDescent="0.25">
      <c r="A194" t="s">
        <v>16</v>
      </c>
      <c r="B194" t="s">
        <v>17</v>
      </c>
      <c r="C194" t="s">
        <v>18</v>
      </c>
      <c r="D194" s="3" t="str">
        <f>("027503")</f>
        <v>027503</v>
      </c>
      <c r="E194" t="str">
        <f>("622454275034")</f>
        <v>622454275034</v>
      </c>
      <c r="G194" t="s">
        <v>284</v>
      </c>
      <c r="H194" s="4">
        <v>53.6</v>
      </c>
      <c r="I194" t="s">
        <v>20</v>
      </c>
      <c r="J194" s="1">
        <v>46174</v>
      </c>
      <c r="K194">
        <v>9.7000000000000003E-2</v>
      </c>
      <c r="L194">
        <v>0.214</v>
      </c>
      <c r="M194">
        <v>25</v>
      </c>
      <c r="N194">
        <v>27</v>
      </c>
    </row>
    <row r="195" spans="1:15" x14ac:dyDescent="0.25">
      <c r="A195" t="s">
        <v>16</v>
      </c>
      <c r="B195" t="s">
        <v>17</v>
      </c>
      <c r="C195" t="s">
        <v>18</v>
      </c>
      <c r="D195" s="3" t="str">
        <f>("027504")</f>
        <v>027504</v>
      </c>
      <c r="E195" t="str">
        <f>("622454275041")</f>
        <v>622454275041</v>
      </c>
      <c r="G195" t="s">
        <v>285</v>
      </c>
      <c r="H195" s="4">
        <v>113</v>
      </c>
      <c r="I195" t="s">
        <v>20</v>
      </c>
      <c r="J195" s="1">
        <v>46174</v>
      </c>
      <c r="K195">
        <v>0.14799999999999999</v>
      </c>
      <c r="L195">
        <v>0.32600000000000001</v>
      </c>
      <c r="M195">
        <v>35</v>
      </c>
      <c r="N195">
        <v>27</v>
      </c>
    </row>
    <row r="196" spans="1:15" x14ac:dyDescent="0.25">
      <c r="A196" t="s">
        <v>16</v>
      </c>
      <c r="B196" t="s">
        <v>17</v>
      </c>
      <c r="C196" t="s">
        <v>18</v>
      </c>
      <c r="D196" s="3" t="str">
        <f>("027522")</f>
        <v>027522</v>
      </c>
      <c r="E196" t="str">
        <f>("622454275225")</f>
        <v>622454275225</v>
      </c>
      <c r="F196" t="s">
        <v>286</v>
      </c>
      <c r="G196" t="s">
        <v>287</v>
      </c>
      <c r="H196" s="4">
        <v>132</v>
      </c>
      <c r="I196" t="s">
        <v>20</v>
      </c>
      <c r="J196" s="1">
        <v>46174</v>
      </c>
      <c r="K196">
        <v>5.8999999999999997E-2</v>
      </c>
      <c r="L196">
        <v>0.13</v>
      </c>
      <c r="M196">
        <v>50</v>
      </c>
      <c r="N196">
        <v>27</v>
      </c>
    </row>
    <row r="197" spans="1:15" x14ac:dyDescent="0.25">
      <c r="A197" t="s">
        <v>16</v>
      </c>
      <c r="B197" t="s">
        <v>17</v>
      </c>
      <c r="C197" t="s">
        <v>18</v>
      </c>
      <c r="D197" s="3" t="str">
        <f>("027523")</f>
        <v>027523</v>
      </c>
      <c r="E197" t="str">
        <f>("622454275232")</f>
        <v>622454275232</v>
      </c>
      <c r="G197" t="s">
        <v>288</v>
      </c>
      <c r="H197" s="4">
        <v>147</v>
      </c>
      <c r="I197" t="s">
        <v>20</v>
      </c>
      <c r="J197" s="1">
        <v>46174</v>
      </c>
      <c r="K197">
        <v>0.13700000000000001</v>
      </c>
      <c r="L197">
        <v>0.30199999999999999</v>
      </c>
      <c r="M197">
        <v>30</v>
      </c>
      <c r="N197">
        <v>27</v>
      </c>
    </row>
    <row r="198" spans="1:15" x14ac:dyDescent="0.25">
      <c r="A198" t="s">
        <v>16</v>
      </c>
      <c r="B198" t="s">
        <v>17</v>
      </c>
      <c r="C198" t="s">
        <v>18</v>
      </c>
      <c r="D198" s="3" t="str">
        <f>("027524")</f>
        <v>027524</v>
      </c>
      <c r="E198" t="str">
        <f>("622454275249")</f>
        <v>622454275249</v>
      </c>
      <c r="F198" t="s">
        <v>289</v>
      </c>
      <c r="G198" t="s">
        <v>290</v>
      </c>
      <c r="H198" s="4">
        <v>225</v>
      </c>
      <c r="I198" t="s">
        <v>20</v>
      </c>
      <c r="J198" s="1">
        <v>46174</v>
      </c>
      <c r="K198">
        <v>0.21</v>
      </c>
      <c r="L198">
        <v>0.46300000000000002</v>
      </c>
      <c r="M198">
        <v>15</v>
      </c>
      <c r="N198">
        <v>27</v>
      </c>
    </row>
    <row r="199" spans="1:15" x14ac:dyDescent="0.25">
      <c r="A199" t="s">
        <v>16</v>
      </c>
      <c r="B199" t="s">
        <v>17</v>
      </c>
      <c r="C199" t="s">
        <v>18</v>
      </c>
      <c r="D199" s="3" t="str">
        <f>("027528")</f>
        <v>027528</v>
      </c>
      <c r="E199" t="str">
        <f>("622454275287")</f>
        <v>622454275287</v>
      </c>
      <c r="G199" t="s">
        <v>291</v>
      </c>
      <c r="H199" s="4">
        <v>225</v>
      </c>
      <c r="I199" t="s">
        <v>20</v>
      </c>
      <c r="J199" s="1">
        <v>46174</v>
      </c>
      <c r="K199">
        <v>0.17299999999999999</v>
      </c>
      <c r="L199">
        <v>0.38100000000000001</v>
      </c>
      <c r="M199">
        <v>15</v>
      </c>
      <c r="N199">
        <v>27</v>
      </c>
    </row>
    <row r="200" spans="1:15" x14ac:dyDescent="0.25">
      <c r="A200" t="s">
        <v>16</v>
      </c>
      <c r="B200" t="s">
        <v>17</v>
      </c>
      <c r="C200" t="s">
        <v>18</v>
      </c>
      <c r="D200" s="3" t="str">
        <f>("027532")</f>
        <v>027532</v>
      </c>
      <c r="E200" t="str">
        <f>("622454275324")</f>
        <v>622454275324</v>
      </c>
      <c r="G200" t="s">
        <v>292</v>
      </c>
      <c r="H200" s="4">
        <v>112</v>
      </c>
      <c r="I200" t="s">
        <v>20</v>
      </c>
      <c r="J200" s="1">
        <v>46174</v>
      </c>
      <c r="K200">
        <v>0.106</v>
      </c>
      <c r="L200">
        <v>0.23400000000000001</v>
      </c>
      <c r="M200">
        <v>30</v>
      </c>
      <c r="N200">
        <v>27</v>
      </c>
    </row>
    <row r="201" spans="1:15" x14ac:dyDescent="0.25">
      <c r="A201" t="s">
        <v>16</v>
      </c>
      <c r="B201" t="s">
        <v>17</v>
      </c>
      <c r="C201" t="s">
        <v>18</v>
      </c>
      <c r="D201" s="3" t="str">
        <f>("027533")</f>
        <v>027533</v>
      </c>
      <c r="E201" t="str">
        <f>("622454275331")</f>
        <v>622454275331</v>
      </c>
      <c r="G201" t="s">
        <v>293</v>
      </c>
      <c r="H201" s="4">
        <v>172</v>
      </c>
      <c r="I201" t="s">
        <v>20</v>
      </c>
      <c r="J201" s="1">
        <v>46174</v>
      </c>
      <c r="K201">
        <v>0.253</v>
      </c>
      <c r="L201">
        <v>0.55800000000000005</v>
      </c>
      <c r="M201">
        <v>30</v>
      </c>
      <c r="N201">
        <v>27</v>
      </c>
    </row>
    <row r="202" spans="1:15" x14ac:dyDescent="0.25">
      <c r="A202" t="s">
        <v>16</v>
      </c>
      <c r="B202" t="s">
        <v>17</v>
      </c>
      <c r="C202" t="s">
        <v>18</v>
      </c>
      <c r="D202" s="3" t="str">
        <f>("027534")</f>
        <v>027534</v>
      </c>
      <c r="E202" t="str">
        <f>("622454275348")</f>
        <v>622454275348</v>
      </c>
      <c r="G202" t="s">
        <v>294</v>
      </c>
      <c r="H202" s="4">
        <v>319</v>
      </c>
      <c r="I202" t="s">
        <v>20</v>
      </c>
      <c r="J202" s="1">
        <v>46174</v>
      </c>
      <c r="K202">
        <v>0.38200000000000001</v>
      </c>
      <c r="L202">
        <v>0.84199999999999997</v>
      </c>
      <c r="M202">
        <v>15</v>
      </c>
      <c r="N202">
        <v>27</v>
      </c>
      <c r="O202" t="s">
        <v>267</v>
      </c>
    </row>
    <row r="203" spans="1:15" x14ac:dyDescent="0.25">
      <c r="A203" t="s">
        <v>16</v>
      </c>
      <c r="B203" t="s">
        <v>17</v>
      </c>
      <c r="C203" t="s">
        <v>18</v>
      </c>
      <c r="D203" s="3" t="str">
        <f>("027535")</f>
        <v>027535</v>
      </c>
      <c r="E203" t="str">
        <f>("622454275355")</f>
        <v>622454275355</v>
      </c>
      <c r="G203" t="s">
        <v>295</v>
      </c>
      <c r="H203" s="4">
        <v>220</v>
      </c>
      <c r="I203" t="s">
        <v>20</v>
      </c>
      <c r="J203" s="1">
        <v>46174</v>
      </c>
      <c r="K203">
        <v>0.34300000000000003</v>
      </c>
      <c r="L203">
        <v>0.75600000000000001</v>
      </c>
      <c r="M203">
        <v>10</v>
      </c>
      <c r="N203">
        <v>27</v>
      </c>
    </row>
    <row r="204" spans="1:15" x14ac:dyDescent="0.25">
      <c r="A204" t="s">
        <v>16</v>
      </c>
      <c r="B204" t="s">
        <v>17</v>
      </c>
      <c r="C204" t="s">
        <v>18</v>
      </c>
      <c r="D204" s="3" t="str">
        <f>("027573")</f>
        <v>027573</v>
      </c>
      <c r="E204" t="str">
        <f>("622454275737")</f>
        <v>622454275737</v>
      </c>
      <c r="F204" t="s">
        <v>296</v>
      </c>
      <c r="G204" t="s">
        <v>297</v>
      </c>
      <c r="H204" s="4">
        <v>158</v>
      </c>
      <c r="I204" t="s">
        <v>20</v>
      </c>
      <c r="J204" s="1">
        <v>46174</v>
      </c>
      <c r="K204">
        <v>0.224</v>
      </c>
      <c r="L204">
        <v>0.49399999999999999</v>
      </c>
      <c r="M204">
        <v>25</v>
      </c>
      <c r="N204">
        <v>27</v>
      </c>
    </row>
    <row r="205" spans="1:15" x14ac:dyDescent="0.25">
      <c r="A205" t="s">
        <v>16</v>
      </c>
      <c r="B205" t="s">
        <v>17</v>
      </c>
      <c r="C205" t="s">
        <v>18</v>
      </c>
      <c r="D205" s="3" t="str">
        <f>("027574")</f>
        <v>027574</v>
      </c>
      <c r="E205" t="str">
        <f>("622454275744")</f>
        <v>622454275744</v>
      </c>
      <c r="F205" t="s">
        <v>298</v>
      </c>
      <c r="G205" t="s">
        <v>299</v>
      </c>
      <c r="H205" s="4">
        <v>427</v>
      </c>
      <c r="I205" t="s">
        <v>20</v>
      </c>
      <c r="J205" s="1">
        <v>46174</v>
      </c>
      <c r="K205">
        <v>0.16900000000000001</v>
      </c>
      <c r="L205">
        <v>0.373</v>
      </c>
      <c r="M205">
        <v>15</v>
      </c>
      <c r="N205">
        <v>27</v>
      </c>
    </row>
    <row r="206" spans="1:15" x14ac:dyDescent="0.25">
      <c r="A206" t="s">
        <v>16</v>
      </c>
      <c r="B206" t="s">
        <v>17</v>
      </c>
      <c r="C206" t="s">
        <v>18</v>
      </c>
      <c r="D206" s="3" t="str">
        <f>("027582")</f>
        <v>027582</v>
      </c>
      <c r="E206" t="str">
        <f>("622454275829")</f>
        <v>622454275829</v>
      </c>
      <c r="F206" t="s">
        <v>300</v>
      </c>
      <c r="G206" t="s">
        <v>301</v>
      </c>
      <c r="H206" s="4">
        <v>143</v>
      </c>
      <c r="I206" t="s">
        <v>20</v>
      </c>
      <c r="J206" s="1">
        <v>46174</v>
      </c>
      <c r="K206">
        <v>0.21099999999999999</v>
      </c>
      <c r="L206">
        <v>0.46500000000000002</v>
      </c>
      <c r="M206">
        <v>25</v>
      </c>
      <c r="N206">
        <v>27</v>
      </c>
    </row>
    <row r="207" spans="1:15" x14ac:dyDescent="0.25">
      <c r="A207" t="s">
        <v>16</v>
      </c>
      <c r="B207" t="s">
        <v>17</v>
      </c>
      <c r="C207" t="s">
        <v>18</v>
      </c>
      <c r="D207" s="3" t="str">
        <f>("027583")</f>
        <v>027583</v>
      </c>
      <c r="E207" t="str">
        <f>("622454275836")</f>
        <v>622454275836</v>
      </c>
      <c r="F207" t="s">
        <v>302</v>
      </c>
      <c r="G207" t="s">
        <v>303</v>
      </c>
      <c r="H207" s="4">
        <v>143</v>
      </c>
      <c r="I207" t="s">
        <v>20</v>
      </c>
      <c r="J207" s="1">
        <v>46174</v>
      </c>
      <c r="K207">
        <v>0.23499999999999999</v>
      </c>
      <c r="L207">
        <v>0.51800000000000002</v>
      </c>
      <c r="M207">
        <v>25</v>
      </c>
      <c r="N207">
        <v>27</v>
      </c>
    </row>
    <row r="208" spans="1:15" x14ac:dyDescent="0.25">
      <c r="A208" t="s">
        <v>16</v>
      </c>
      <c r="B208" t="s">
        <v>17</v>
      </c>
      <c r="C208" t="s">
        <v>18</v>
      </c>
      <c r="D208" s="3" t="str">
        <f>("027584")</f>
        <v>027584</v>
      </c>
      <c r="E208" t="str">
        <f>("622454275843")</f>
        <v>622454275843</v>
      </c>
      <c r="F208" t="s">
        <v>304</v>
      </c>
      <c r="G208" t="s">
        <v>305</v>
      </c>
      <c r="H208" s="4">
        <v>132</v>
      </c>
      <c r="I208" t="s">
        <v>20</v>
      </c>
      <c r="J208" s="1">
        <v>46174</v>
      </c>
      <c r="K208">
        <v>0.245</v>
      </c>
      <c r="L208">
        <v>0.54</v>
      </c>
      <c r="M208">
        <v>25</v>
      </c>
      <c r="N208">
        <v>27</v>
      </c>
    </row>
    <row r="209" spans="1:14" x14ac:dyDescent="0.25">
      <c r="A209" t="s">
        <v>16</v>
      </c>
      <c r="B209" t="s">
        <v>17</v>
      </c>
      <c r="C209" t="s">
        <v>18</v>
      </c>
      <c r="D209" s="3" t="str">
        <f>("027585")</f>
        <v>027585</v>
      </c>
      <c r="E209" t="str">
        <f>("622454275850")</f>
        <v>622454275850</v>
      </c>
      <c r="F209" t="s">
        <v>306</v>
      </c>
      <c r="G209" t="s">
        <v>307</v>
      </c>
      <c r="H209" s="4">
        <v>161</v>
      </c>
      <c r="I209" t="s">
        <v>20</v>
      </c>
      <c r="J209" s="1">
        <v>46174</v>
      </c>
      <c r="K209">
        <v>0.23699999999999999</v>
      </c>
      <c r="L209">
        <v>0.52200000000000002</v>
      </c>
      <c r="M209">
        <v>25</v>
      </c>
      <c r="N209">
        <v>27</v>
      </c>
    </row>
    <row r="210" spans="1:14" x14ac:dyDescent="0.25">
      <c r="A210" t="s">
        <v>16</v>
      </c>
      <c r="B210" t="s">
        <v>17</v>
      </c>
      <c r="C210" t="s">
        <v>18</v>
      </c>
      <c r="D210" s="3" t="str">
        <f>("027586")</f>
        <v>027586</v>
      </c>
      <c r="E210" t="str">
        <f>("622454275867")</f>
        <v>622454275867</v>
      </c>
      <c r="G210" t="s">
        <v>308</v>
      </c>
      <c r="H210" s="4">
        <v>204</v>
      </c>
      <c r="I210" t="s">
        <v>20</v>
      </c>
      <c r="J210" s="1">
        <v>46174</v>
      </c>
      <c r="K210">
        <v>0.254</v>
      </c>
      <c r="L210">
        <v>0.56000000000000005</v>
      </c>
      <c r="M210">
        <v>25</v>
      </c>
      <c r="N210">
        <v>27</v>
      </c>
    </row>
    <row r="211" spans="1:14" x14ac:dyDescent="0.25">
      <c r="A211" t="s">
        <v>16</v>
      </c>
      <c r="B211" t="s">
        <v>17</v>
      </c>
      <c r="C211" t="s">
        <v>18</v>
      </c>
      <c r="D211" s="3" t="str">
        <f>("027587")</f>
        <v>027587</v>
      </c>
      <c r="E211" t="str">
        <f>("622454275874")</f>
        <v>622454275874</v>
      </c>
      <c r="F211" t="s">
        <v>309</v>
      </c>
      <c r="G211" t="s">
        <v>310</v>
      </c>
      <c r="H211" s="4">
        <v>240</v>
      </c>
      <c r="I211" t="s">
        <v>20</v>
      </c>
      <c r="J211" s="1">
        <v>46174</v>
      </c>
      <c r="K211">
        <v>0.32700000000000001</v>
      </c>
      <c r="L211">
        <v>0.72099999999999997</v>
      </c>
      <c r="M211">
        <v>25</v>
      </c>
      <c r="N211">
        <v>27</v>
      </c>
    </row>
    <row r="212" spans="1:14" x14ac:dyDescent="0.25">
      <c r="A212" t="s">
        <v>16</v>
      </c>
      <c r="B212" t="s">
        <v>17</v>
      </c>
      <c r="C212" t="s">
        <v>18</v>
      </c>
      <c r="D212" s="3" t="str">
        <f>("027588")</f>
        <v>027588</v>
      </c>
      <c r="E212" t="str">
        <f>("622454275881")</f>
        <v>622454275881</v>
      </c>
      <c r="G212" t="s">
        <v>311</v>
      </c>
      <c r="H212" s="4">
        <v>209</v>
      </c>
      <c r="I212" t="s">
        <v>20</v>
      </c>
      <c r="J212" s="1">
        <v>46174</v>
      </c>
      <c r="K212">
        <v>0.27600000000000002</v>
      </c>
      <c r="L212">
        <v>0.60799999999999998</v>
      </c>
      <c r="M212">
        <v>25</v>
      </c>
      <c r="N212">
        <v>27</v>
      </c>
    </row>
    <row r="213" spans="1:14" x14ac:dyDescent="0.25">
      <c r="A213" t="s">
        <v>16</v>
      </c>
      <c r="B213" t="s">
        <v>17</v>
      </c>
      <c r="C213" t="s">
        <v>18</v>
      </c>
      <c r="D213" s="3" t="str">
        <f>("027591")</f>
        <v>027591</v>
      </c>
      <c r="E213" t="str">
        <f>("622454275911")</f>
        <v>622454275911</v>
      </c>
      <c r="F213" t="s">
        <v>312</v>
      </c>
      <c r="G213" t="s">
        <v>313</v>
      </c>
      <c r="H213" s="4">
        <v>144</v>
      </c>
      <c r="I213" t="s">
        <v>20</v>
      </c>
      <c r="J213" s="1">
        <v>46174</v>
      </c>
      <c r="K213">
        <v>0.26400000000000001</v>
      </c>
      <c r="L213">
        <v>0.58199999999999996</v>
      </c>
      <c r="M213">
        <v>25</v>
      </c>
      <c r="N213">
        <v>27</v>
      </c>
    </row>
    <row r="214" spans="1:14" x14ac:dyDescent="0.25">
      <c r="A214" t="s">
        <v>16</v>
      </c>
      <c r="B214" t="s">
        <v>17</v>
      </c>
      <c r="C214" t="s">
        <v>18</v>
      </c>
      <c r="D214" s="3" t="str">
        <f>("027592")</f>
        <v>027592</v>
      </c>
      <c r="E214" t="str">
        <f>("622454275928")</f>
        <v>622454275928</v>
      </c>
      <c r="G214" t="s">
        <v>314</v>
      </c>
      <c r="H214" s="4">
        <v>386</v>
      </c>
      <c r="I214" t="s">
        <v>20</v>
      </c>
      <c r="J214" s="1">
        <v>46174</v>
      </c>
      <c r="K214">
        <v>0.57799999999999996</v>
      </c>
      <c r="L214">
        <v>1.274</v>
      </c>
      <c r="M214">
        <v>12</v>
      </c>
      <c r="N214">
        <v>27</v>
      </c>
    </row>
    <row r="215" spans="1:14" x14ac:dyDescent="0.25">
      <c r="A215" t="s">
        <v>16</v>
      </c>
      <c r="B215" t="s">
        <v>17</v>
      </c>
      <c r="C215" t="s">
        <v>18</v>
      </c>
      <c r="D215" s="3" t="str">
        <f>("027593")</f>
        <v>027593</v>
      </c>
      <c r="E215" t="str">
        <f>("622454275935")</f>
        <v>622454275935</v>
      </c>
      <c r="F215" t="s">
        <v>315</v>
      </c>
      <c r="G215" t="s">
        <v>316</v>
      </c>
      <c r="H215" s="4">
        <v>1391</v>
      </c>
      <c r="I215" t="s">
        <v>20</v>
      </c>
      <c r="J215" s="1">
        <v>46174</v>
      </c>
      <c r="K215">
        <v>0.58799999999999997</v>
      </c>
      <c r="L215">
        <v>1.296</v>
      </c>
      <c r="M215">
        <v>12</v>
      </c>
      <c r="N215">
        <v>27</v>
      </c>
    </row>
    <row r="216" spans="1:14" x14ac:dyDescent="0.25">
      <c r="A216" t="s">
        <v>16</v>
      </c>
      <c r="B216" t="s">
        <v>17</v>
      </c>
      <c r="C216" t="s">
        <v>18</v>
      </c>
      <c r="D216" s="3" t="str">
        <f>("027599")</f>
        <v>027599</v>
      </c>
      <c r="E216" t="str">
        <f>("622454275997")</f>
        <v>622454275997</v>
      </c>
      <c r="G216" t="s">
        <v>317</v>
      </c>
      <c r="H216" s="4">
        <v>895</v>
      </c>
      <c r="I216" t="s">
        <v>20</v>
      </c>
      <c r="J216" s="1">
        <v>46174</v>
      </c>
      <c r="K216">
        <v>0.51400000000000001</v>
      </c>
      <c r="L216">
        <v>1.133</v>
      </c>
      <c r="M216">
        <v>8</v>
      </c>
      <c r="N216">
        <v>27</v>
      </c>
    </row>
    <row r="217" spans="1:14" x14ac:dyDescent="0.25">
      <c r="A217" t="s">
        <v>16</v>
      </c>
      <c r="B217" t="s">
        <v>17</v>
      </c>
      <c r="C217" t="s">
        <v>18</v>
      </c>
      <c r="D217" s="3" t="str">
        <f>("027600")</f>
        <v>027600</v>
      </c>
      <c r="E217" t="str">
        <f>("622454276000")</f>
        <v>622454276000</v>
      </c>
      <c r="G217" t="s">
        <v>318</v>
      </c>
      <c r="H217" s="4">
        <v>37</v>
      </c>
      <c r="I217" t="s">
        <v>20</v>
      </c>
      <c r="J217" s="1">
        <v>46174</v>
      </c>
      <c r="K217">
        <v>2.5000000000000001E-2</v>
      </c>
      <c r="L217">
        <v>5.5E-2</v>
      </c>
      <c r="M217">
        <v>100</v>
      </c>
      <c r="N217">
        <v>27</v>
      </c>
    </row>
    <row r="218" spans="1:14" x14ac:dyDescent="0.25">
      <c r="A218" t="s">
        <v>16</v>
      </c>
      <c r="B218" t="s">
        <v>17</v>
      </c>
      <c r="C218" t="s">
        <v>18</v>
      </c>
      <c r="D218" s="3" t="str">
        <f>("027601")</f>
        <v>027601</v>
      </c>
      <c r="E218" t="str">
        <f>("622454276017")</f>
        <v>622454276017</v>
      </c>
      <c r="F218" t="s">
        <v>319</v>
      </c>
      <c r="G218" t="s">
        <v>320</v>
      </c>
      <c r="H218" s="4">
        <v>32.1</v>
      </c>
      <c r="I218" t="s">
        <v>20</v>
      </c>
      <c r="J218" s="1">
        <v>46174</v>
      </c>
      <c r="K218">
        <v>2.8000000000000001E-2</v>
      </c>
      <c r="L218">
        <v>6.2E-2</v>
      </c>
      <c r="M218">
        <v>100</v>
      </c>
      <c r="N218">
        <v>27</v>
      </c>
    </row>
    <row r="219" spans="1:14" x14ac:dyDescent="0.25">
      <c r="A219" t="s">
        <v>16</v>
      </c>
      <c r="B219" t="s">
        <v>17</v>
      </c>
      <c r="C219" t="s">
        <v>18</v>
      </c>
      <c r="D219" s="3" t="str">
        <f>("027602")</f>
        <v>027602</v>
      </c>
      <c r="E219" t="str">
        <f>("622454276024")</f>
        <v>622454276024</v>
      </c>
      <c r="F219" t="s">
        <v>321</v>
      </c>
      <c r="G219" t="s">
        <v>322</v>
      </c>
      <c r="H219" s="4">
        <v>63</v>
      </c>
      <c r="I219" t="s">
        <v>20</v>
      </c>
      <c r="J219" s="1">
        <v>46174</v>
      </c>
      <c r="K219">
        <v>3.9E-2</v>
      </c>
      <c r="L219">
        <v>8.5999999999999993E-2</v>
      </c>
      <c r="M219">
        <v>60</v>
      </c>
      <c r="N219">
        <v>27</v>
      </c>
    </row>
    <row r="220" spans="1:14" x14ac:dyDescent="0.25">
      <c r="A220" t="s">
        <v>16</v>
      </c>
      <c r="B220" t="s">
        <v>17</v>
      </c>
      <c r="C220" t="s">
        <v>18</v>
      </c>
      <c r="D220" s="3" t="str">
        <f>("027603")</f>
        <v>027603</v>
      </c>
      <c r="E220" t="str">
        <f>("622454276031")</f>
        <v>622454276031</v>
      </c>
      <c r="F220" t="s">
        <v>323</v>
      </c>
      <c r="G220" t="s">
        <v>324</v>
      </c>
      <c r="H220" s="4">
        <v>102</v>
      </c>
      <c r="I220" t="s">
        <v>20</v>
      </c>
      <c r="J220" s="1">
        <v>46174</v>
      </c>
      <c r="K220">
        <v>0.128</v>
      </c>
      <c r="L220">
        <v>0.28199999999999997</v>
      </c>
      <c r="M220">
        <v>35</v>
      </c>
      <c r="N220">
        <v>27</v>
      </c>
    </row>
    <row r="221" spans="1:14" x14ac:dyDescent="0.25">
      <c r="A221" t="s">
        <v>16</v>
      </c>
      <c r="B221" t="s">
        <v>17</v>
      </c>
      <c r="C221" t="s">
        <v>18</v>
      </c>
      <c r="D221" s="3" t="str">
        <f>("027604")</f>
        <v>027604</v>
      </c>
      <c r="E221" t="str">
        <f>("622454276048")</f>
        <v>622454276048</v>
      </c>
      <c r="F221" t="s">
        <v>325</v>
      </c>
      <c r="G221" t="s">
        <v>326</v>
      </c>
      <c r="H221" s="4">
        <v>171</v>
      </c>
      <c r="I221" t="s">
        <v>20</v>
      </c>
      <c r="J221" s="1">
        <v>46174</v>
      </c>
      <c r="K221">
        <v>0.20300000000000001</v>
      </c>
      <c r="L221">
        <v>0.44800000000000001</v>
      </c>
      <c r="M221">
        <v>25</v>
      </c>
      <c r="N221">
        <v>27</v>
      </c>
    </row>
    <row r="222" spans="1:14" x14ac:dyDescent="0.25">
      <c r="A222" t="s">
        <v>16</v>
      </c>
      <c r="B222" t="s">
        <v>17</v>
      </c>
      <c r="C222" t="s">
        <v>18</v>
      </c>
      <c r="D222" s="3" t="str">
        <f>("027610")</f>
        <v>027610</v>
      </c>
      <c r="E222" t="str">
        <f>("622454276109")</f>
        <v>622454276109</v>
      </c>
      <c r="F222" t="s">
        <v>327</v>
      </c>
      <c r="G222" t="s">
        <v>328</v>
      </c>
      <c r="H222" s="4">
        <v>1180</v>
      </c>
      <c r="I222" t="s">
        <v>20</v>
      </c>
      <c r="J222" s="1">
        <v>46174</v>
      </c>
      <c r="K222">
        <v>0.82499999999999996</v>
      </c>
      <c r="L222">
        <v>1.819</v>
      </c>
      <c r="M222">
        <v>15</v>
      </c>
      <c r="N222">
        <v>27</v>
      </c>
    </row>
    <row r="223" spans="1:14" x14ac:dyDescent="0.25">
      <c r="A223" t="s">
        <v>16</v>
      </c>
      <c r="B223" t="s">
        <v>17</v>
      </c>
      <c r="C223" t="s">
        <v>18</v>
      </c>
      <c r="D223" s="3" t="str">
        <f>("027611")</f>
        <v>027611</v>
      </c>
      <c r="E223" t="str">
        <f>("622454276116")</f>
        <v>622454276116</v>
      </c>
      <c r="F223" t="s">
        <v>329</v>
      </c>
      <c r="G223" t="s">
        <v>330</v>
      </c>
      <c r="H223" s="4">
        <v>349</v>
      </c>
      <c r="I223" t="s">
        <v>20</v>
      </c>
      <c r="J223" s="1">
        <v>46174</v>
      </c>
      <c r="K223">
        <v>0.223</v>
      </c>
      <c r="L223">
        <v>0.49199999999999999</v>
      </c>
      <c r="M223">
        <v>40</v>
      </c>
      <c r="N223">
        <v>27</v>
      </c>
    </row>
    <row r="224" spans="1:14" x14ac:dyDescent="0.25">
      <c r="A224" t="s">
        <v>16</v>
      </c>
      <c r="B224" t="s">
        <v>17</v>
      </c>
      <c r="C224" t="s">
        <v>18</v>
      </c>
      <c r="D224" s="3" t="str">
        <f>("027612")</f>
        <v>027612</v>
      </c>
      <c r="E224" t="str">
        <f>("622454276123")</f>
        <v>622454276123</v>
      </c>
      <c r="F224" t="s">
        <v>331</v>
      </c>
      <c r="G224" t="s">
        <v>332</v>
      </c>
      <c r="H224" s="4">
        <v>497</v>
      </c>
      <c r="I224" t="s">
        <v>20</v>
      </c>
      <c r="J224" s="1">
        <v>46174</v>
      </c>
      <c r="K224">
        <v>0.29099999999999998</v>
      </c>
      <c r="L224">
        <v>0.64200000000000002</v>
      </c>
      <c r="M224">
        <v>30</v>
      </c>
      <c r="N224">
        <v>27</v>
      </c>
    </row>
    <row r="225" spans="1:15" x14ac:dyDescent="0.25">
      <c r="A225" t="s">
        <v>16</v>
      </c>
      <c r="B225" t="s">
        <v>17</v>
      </c>
      <c r="C225" t="s">
        <v>18</v>
      </c>
      <c r="D225" s="3" t="str">
        <f>("027613")</f>
        <v>027613</v>
      </c>
      <c r="E225" t="str">
        <f>("622454276130")</f>
        <v>622454276130</v>
      </c>
      <c r="G225" t="s">
        <v>333</v>
      </c>
      <c r="H225" s="4">
        <v>644</v>
      </c>
      <c r="I225" t="s">
        <v>20</v>
      </c>
      <c r="J225" s="1">
        <v>46174</v>
      </c>
      <c r="K225">
        <v>0.621</v>
      </c>
      <c r="L225">
        <v>1.369</v>
      </c>
      <c r="M225">
        <v>15</v>
      </c>
      <c r="N225">
        <v>27</v>
      </c>
    </row>
    <row r="226" spans="1:15" x14ac:dyDescent="0.25">
      <c r="A226" t="s">
        <v>16</v>
      </c>
      <c r="B226" t="s">
        <v>17</v>
      </c>
      <c r="C226" t="s">
        <v>18</v>
      </c>
      <c r="D226" s="3" t="str">
        <f>("027614")</f>
        <v>027614</v>
      </c>
      <c r="E226" t="str">
        <f>("622454276147")</f>
        <v>622454276147</v>
      </c>
      <c r="G226" t="s">
        <v>334</v>
      </c>
      <c r="H226" s="4">
        <v>1178</v>
      </c>
      <c r="I226" t="s">
        <v>20</v>
      </c>
      <c r="J226" s="1">
        <v>46174</v>
      </c>
      <c r="K226">
        <v>1.6759999999999999</v>
      </c>
      <c r="L226">
        <v>3.6949999999999998</v>
      </c>
      <c r="M226">
        <v>6</v>
      </c>
      <c r="N226">
        <v>27</v>
      </c>
      <c r="O226" t="s">
        <v>267</v>
      </c>
    </row>
    <row r="227" spans="1:15" x14ac:dyDescent="0.25">
      <c r="A227" t="s">
        <v>16</v>
      </c>
      <c r="B227" t="s">
        <v>17</v>
      </c>
      <c r="C227" t="s">
        <v>18</v>
      </c>
      <c r="D227" s="3" t="str">
        <f>("027615")</f>
        <v>027615</v>
      </c>
      <c r="E227" t="str">
        <f>("622454276154")</f>
        <v>622454276154</v>
      </c>
      <c r="G227" t="s">
        <v>335</v>
      </c>
      <c r="H227" s="4">
        <v>592</v>
      </c>
      <c r="I227" t="s">
        <v>20</v>
      </c>
      <c r="J227" s="1">
        <v>46174</v>
      </c>
      <c r="K227">
        <v>0.63800000000000001</v>
      </c>
      <c r="L227">
        <v>1.407</v>
      </c>
      <c r="M227">
        <v>15</v>
      </c>
      <c r="N227">
        <v>27</v>
      </c>
    </row>
    <row r="228" spans="1:15" x14ac:dyDescent="0.25">
      <c r="A228" t="s">
        <v>16</v>
      </c>
      <c r="B228" t="s">
        <v>17</v>
      </c>
      <c r="C228" t="s">
        <v>18</v>
      </c>
      <c r="D228" s="3" t="str">
        <f>("027619")</f>
        <v>027619</v>
      </c>
      <c r="E228" t="str">
        <f>("622454276192")</f>
        <v>622454276192</v>
      </c>
      <c r="G228" t="s">
        <v>336</v>
      </c>
      <c r="H228" s="4">
        <v>104</v>
      </c>
      <c r="I228" t="s">
        <v>20</v>
      </c>
      <c r="J228" s="1">
        <v>46174</v>
      </c>
      <c r="K228">
        <v>0.109</v>
      </c>
      <c r="L228">
        <v>0.24</v>
      </c>
      <c r="M228">
        <v>50</v>
      </c>
      <c r="N228">
        <v>27</v>
      </c>
    </row>
    <row r="229" spans="1:15" x14ac:dyDescent="0.25">
      <c r="A229" t="s">
        <v>16</v>
      </c>
      <c r="B229" t="s">
        <v>17</v>
      </c>
      <c r="C229" t="s">
        <v>18</v>
      </c>
      <c r="D229" s="3" t="str">
        <f>("027632")</f>
        <v>027632</v>
      </c>
      <c r="E229" t="str">
        <f>("622454276321")</f>
        <v>622454276321</v>
      </c>
      <c r="G229" t="s">
        <v>337</v>
      </c>
      <c r="H229" s="4">
        <v>48.7</v>
      </c>
      <c r="I229" t="s">
        <v>20</v>
      </c>
      <c r="J229" s="1">
        <v>46174</v>
      </c>
      <c r="K229">
        <v>1.6E-2</v>
      </c>
      <c r="L229">
        <v>3.5000000000000003E-2</v>
      </c>
      <c r="M229">
        <v>600</v>
      </c>
      <c r="N229">
        <v>27</v>
      </c>
    </row>
    <row r="230" spans="1:15" x14ac:dyDescent="0.25">
      <c r="A230" t="s">
        <v>16</v>
      </c>
      <c r="B230" t="s">
        <v>17</v>
      </c>
      <c r="C230" t="s">
        <v>18</v>
      </c>
      <c r="D230" s="3" t="str">
        <f>("027633")</f>
        <v>027633</v>
      </c>
      <c r="E230" t="str">
        <f>("622454276338")</f>
        <v>622454276338</v>
      </c>
      <c r="G230" t="s">
        <v>338</v>
      </c>
      <c r="H230" s="4">
        <v>15.45</v>
      </c>
      <c r="I230" t="s">
        <v>20</v>
      </c>
      <c r="J230" s="1">
        <v>46174</v>
      </c>
      <c r="K230">
        <v>0.01</v>
      </c>
      <c r="L230">
        <v>2.1999999999999999E-2</v>
      </c>
      <c r="M230">
        <v>200</v>
      </c>
      <c r="N230">
        <v>27</v>
      </c>
    </row>
    <row r="231" spans="1:15" x14ac:dyDescent="0.25">
      <c r="A231" t="s">
        <v>16</v>
      </c>
      <c r="B231" t="s">
        <v>17</v>
      </c>
      <c r="C231" t="s">
        <v>18</v>
      </c>
      <c r="D231" s="3" t="str">
        <f>("027651")</f>
        <v>027651</v>
      </c>
      <c r="E231" t="str">
        <f>("622454276512")</f>
        <v>622454276512</v>
      </c>
      <c r="G231" t="s">
        <v>339</v>
      </c>
      <c r="H231" s="4">
        <v>114</v>
      </c>
      <c r="I231" t="s">
        <v>20</v>
      </c>
      <c r="J231" s="1">
        <v>46174</v>
      </c>
      <c r="K231">
        <v>0.11</v>
      </c>
      <c r="L231">
        <v>0.24299999999999999</v>
      </c>
      <c r="M231">
        <v>25</v>
      </c>
      <c r="N231">
        <v>27</v>
      </c>
    </row>
    <row r="232" spans="1:15" x14ac:dyDescent="0.25">
      <c r="A232" t="s">
        <v>16</v>
      </c>
      <c r="B232" t="s">
        <v>17</v>
      </c>
      <c r="C232" t="s">
        <v>18</v>
      </c>
      <c r="D232" s="3" t="str">
        <f>("027658")</f>
        <v>027658</v>
      </c>
      <c r="E232" t="str">
        <f>("622454276581")</f>
        <v>622454276581</v>
      </c>
      <c r="G232" t="s">
        <v>340</v>
      </c>
      <c r="H232" s="4">
        <v>51.8</v>
      </c>
      <c r="I232" t="s">
        <v>20</v>
      </c>
      <c r="J232" s="1">
        <v>46174</v>
      </c>
      <c r="K232">
        <v>1.4999999999999999E-2</v>
      </c>
      <c r="L232">
        <v>3.3000000000000002E-2</v>
      </c>
      <c r="M232">
        <v>100</v>
      </c>
      <c r="N232">
        <v>27</v>
      </c>
    </row>
    <row r="233" spans="1:15" x14ac:dyDescent="0.25">
      <c r="A233" t="s">
        <v>16</v>
      </c>
      <c r="B233" t="s">
        <v>17</v>
      </c>
      <c r="C233" t="s">
        <v>18</v>
      </c>
      <c r="D233" s="3" t="str">
        <f>("027671")</f>
        <v>027671</v>
      </c>
      <c r="E233" t="str">
        <f>("622454276710")</f>
        <v>622454276710</v>
      </c>
      <c r="G233" t="s">
        <v>341</v>
      </c>
      <c r="H233" s="4">
        <v>168</v>
      </c>
      <c r="I233" t="s">
        <v>20</v>
      </c>
      <c r="J233" s="1">
        <v>46174</v>
      </c>
      <c r="K233">
        <v>0.28799999999999998</v>
      </c>
      <c r="L233">
        <v>0.63500000000000001</v>
      </c>
      <c r="M233">
        <v>25</v>
      </c>
      <c r="N233">
        <v>27</v>
      </c>
    </row>
    <row r="234" spans="1:15" x14ac:dyDescent="0.25">
      <c r="A234" t="s">
        <v>16</v>
      </c>
      <c r="B234" t="s">
        <v>17</v>
      </c>
      <c r="C234" t="s">
        <v>18</v>
      </c>
      <c r="D234" s="3" t="str">
        <f>("027672")</f>
        <v>027672</v>
      </c>
      <c r="E234" t="str">
        <f>("622454276727")</f>
        <v>622454276727</v>
      </c>
      <c r="G234" t="s">
        <v>342</v>
      </c>
      <c r="H234" s="4">
        <v>260</v>
      </c>
      <c r="I234" t="s">
        <v>20</v>
      </c>
      <c r="J234" s="1">
        <v>46174</v>
      </c>
      <c r="K234">
        <v>0.34100000000000003</v>
      </c>
      <c r="L234">
        <v>0.752</v>
      </c>
      <c r="M234">
        <v>20</v>
      </c>
      <c r="N234">
        <v>27</v>
      </c>
    </row>
    <row r="235" spans="1:15" x14ac:dyDescent="0.25">
      <c r="A235" t="s">
        <v>16</v>
      </c>
      <c r="B235" t="s">
        <v>17</v>
      </c>
      <c r="C235" t="s">
        <v>18</v>
      </c>
      <c r="D235" s="3" t="str">
        <f>("027693")</f>
        <v>027693</v>
      </c>
      <c r="E235" t="str">
        <f>("622454276932")</f>
        <v>622454276932</v>
      </c>
      <c r="G235" t="s">
        <v>343</v>
      </c>
      <c r="H235" s="4">
        <v>378</v>
      </c>
      <c r="I235" t="s">
        <v>20</v>
      </c>
      <c r="J235" s="1">
        <v>46174</v>
      </c>
      <c r="K235">
        <v>0.442</v>
      </c>
      <c r="L235">
        <v>0.97399999999999998</v>
      </c>
      <c r="M235">
        <v>20</v>
      </c>
      <c r="N235">
        <v>27</v>
      </c>
    </row>
    <row r="236" spans="1:15" x14ac:dyDescent="0.25">
      <c r="A236" t="s">
        <v>16</v>
      </c>
      <c r="B236" t="s">
        <v>17</v>
      </c>
      <c r="C236" t="s">
        <v>18</v>
      </c>
      <c r="D236" s="3" t="str">
        <f>("027705")</f>
        <v>027705</v>
      </c>
      <c r="E236" t="str">
        <f>("622454277052")</f>
        <v>622454277052</v>
      </c>
      <c r="G236" t="s">
        <v>344</v>
      </c>
      <c r="H236" s="4">
        <v>80</v>
      </c>
      <c r="I236" t="s">
        <v>20</v>
      </c>
      <c r="J236" s="1">
        <v>46174</v>
      </c>
      <c r="K236">
        <v>4.8000000000000001E-2</v>
      </c>
      <c r="L236">
        <v>0.106</v>
      </c>
      <c r="M236">
        <v>50</v>
      </c>
      <c r="N236">
        <v>27</v>
      </c>
    </row>
    <row r="237" spans="1:15" x14ac:dyDescent="0.25">
      <c r="A237" t="s">
        <v>16</v>
      </c>
      <c r="B237" t="s">
        <v>17</v>
      </c>
      <c r="C237" t="s">
        <v>18</v>
      </c>
      <c r="D237" s="3" t="str">
        <f>("027706")</f>
        <v>027706</v>
      </c>
      <c r="E237" t="str">
        <f>("622454277069")</f>
        <v>622454277069</v>
      </c>
      <c r="G237" t="s">
        <v>345</v>
      </c>
      <c r="H237" s="4">
        <v>62</v>
      </c>
      <c r="I237" t="s">
        <v>20</v>
      </c>
      <c r="J237" s="1">
        <v>46174</v>
      </c>
      <c r="K237">
        <v>3.4000000000000002E-2</v>
      </c>
      <c r="L237">
        <v>7.4999999999999997E-2</v>
      </c>
      <c r="M237">
        <v>90</v>
      </c>
      <c r="N237">
        <v>27</v>
      </c>
    </row>
    <row r="238" spans="1:15" x14ac:dyDescent="0.25">
      <c r="A238" t="s">
        <v>16</v>
      </c>
      <c r="B238" t="s">
        <v>17</v>
      </c>
      <c r="C238" t="s">
        <v>18</v>
      </c>
      <c r="D238" s="3" t="str">
        <f>("027707")</f>
        <v>027707</v>
      </c>
      <c r="E238" t="str">
        <f>("622454277076")</f>
        <v>622454277076</v>
      </c>
      <c r="G238" t="s">
        <v>346</v>
      </c>
      <c r="H238" s="4">
        <v>100</v>
      </c>
      <c r="I238" t="s">
        <v>20</v>
      </c>
      <c r="J238" s="1">
        <v>46174</v>
      </c>
      <c r="K238">
        <v>7.9000000000000001E-2</v>
      </c>
      <c r="L238">
        <v>0.17399999999999999</v>
      </c>
      <c r="M238">
        <v>50</v>
      </c>
      <c r="N238">
        <v>27</v>
      </c>
    </row>
    <row r="239" spans="1:15" x14ac:dyDescent="0.25">
      <c r="A239" t="s">
        <v>16</v>
      </c>
      <c r="B239" t="s">
        <v>17</v>
      </c>
      <c r="C239" t="s">
        <v>18</v>
      </c>
      <c r="D239" s="3" t="str">
        <f>("027708")</f>
        <v>027708</v>
      </c>
      <c r="E239" t="str">
        <f>("622454277083")</f>
        <v>622454277083</v>
      </c>
      <c r="G239" t="s">
        <v>347</v>
      </c>
      <c r="H239" s="4">
        <v>147</v>
      </c>
      <c r="I239" t="s">
        <v>20</v>
      </c>
      <c r="J239" s="1">
        <v>46174</v>
      </c>
      <c r="K239">
        <v>0.223</v>
      </c>
      <c r="L239">
        <v>0.49199999999999999</v>
      </c>
      <c r="M239">
        <v>30</v>
      </c>
      <c r="N239">
        <v>27</v>
      </c>
    </row>
    <row r="240" spans="1:15" x14ac:dyDescent="0.25">
      <c r="A240" t="s">
        <v>16</v>
      </c>
      <c r="B240" t="s">
        <v>17</v>
      </c>
      <c r="C240" t="s">
        <v>18</v>
      </c>
      <c r="D240" s="3" t="str">
        <f>("027709")</f>
        <v>027709</v>
      </c>
      <c r="E240" t="str">
        <f>("622454277090")</f>
        <v>622454277090</v>
      </c>
      <c r="G240" t="s">
        <v>348</v>
      </c>
      <c r="H240" s="4">
        <v>308</v>
      </c>
      <c r="I240" t="s">
        <v>20</v>
      </c>
      <c r="J240" s="1">
        <v>46174</v>
      </c>
      <c r="K240">
        <v>0.34599999999999997</v>
      </c>
      <c r="L240">
        <v>0.76300000000000001</v>
      </c>
      <c r="M240">
        <v>25</v>
      </c>
      <c r="N240">
        <v>27</v>
      </c>
    </row>
    <row r="241" spans="1:15" x14ac:dyDescent="0.25">
      <c r="A241" t="s">
        <v>16</v>
      </c>
      <c r="B241" t="s">
        <v>17</v>
      </c>
      <c r="C241" t="s">
        <v>18</v>
      </c>
      <c r="D241" s="3" t="str">
        <f>("027730")</f>
        <v>027730</v>
      </c>
      <c r="E241" t="str">
        <f>("622454277304")</f>
        <v>622454277304</v>
      </c>
      <c r="F241" t="s">
        <v>349</v>
      </c>
      <c r="G241" t="s">
        <v>350</v>
      </c>
      <c r="H241" s="4">
        <v>316</v>
      </c>
      <c r="I241" t="s">
        <v>20</v>
      </c>
      <c r="J241" s="1">
        <v>46174</v>
      </c>
      <c r="K241">
        <v>0.184</v>
      </c>
      <c r="L241">
        <v>0.40600000000000003</v>
      </c>
      <c r="M241">
        <v>20</v>
      </c>
      <c r="N241">
        <v>27</v>
      </c>
    </row>
    <row r="242" spans="1:15" x14ac:dyDescent="0.25">
      <c r="A242" t="s">
        <v>16</v>
      </c>
      <c r="B242" t="s">
        <v>17</v>
      </c>
      <c r="C242" t="s">
        <v>18</v>
      </c>
      <c r="D242" s="3" t="str">
        <f>("027740")</f>
        <v>027740</v>
      </c>
      <c r="E242" t="str">
        <f>("622454277403")</f>
        <v>622454277403</v>
      </c>
      <c r="F242" t="s">
        <v>351</v>
      </c>
      <c r="G242" t="s">
        <v>352</v>
      </c>
      <c r="H242" s="4">
        <v>380</v>
      </c>
      <c r="I242" t="s">
        <v>20</v>
      </c>
      <c r="J242" s="1">
        <v>46174</v>
      </c>
      <c r="K242">
        <v>0.21299999999999999</v>
      </c>
      <c r="L242">
        <v>0.47</v>
      </c>
      <c r="M242">
        <v>20</v>
      </c>
      <c r="N242">
        <v>27</v>
      </c>
    </row>
    <row r="243" spans="1:15" x14ac:dyDescent="0.25">
      <c r="A243" t="s">
        <v>16</v>
      </c>
      <c r="B243" t="s">
        <v>17</v>
      </c>
      <c r="C243" t="s">
        <v>18</v>
      </c>
      <c r="D243" s="3" t="str">
        <f>("027741")</f>
        <v>027741</v>
      </c>
      <c r="E243" t="str">
        <f>("622454277410")</f>
        <v>622454277410</v>
      </c>
      <c r="F243" t="s">
        <v>353</v>
      </c>
      <c r="G243" t="s">
        <v>354</v>
      </c>
      <c r="H243" s="4">
        <v>127</v>
      </c>
      <c r="I243" t="s">
        <v>20</v>
      </c>
      <c r="J243" s="1">
        <v>46174</v>
      </c>
      <c r="K243">
        <v>0.17599999999999999</v>
      </c>
      <c r="L243">
        <v>0.38800000000000001</v>
      </c>
      <c r="M243">
        <v>25</v>
      </c>
      <c r="N243">
        <v>27</v>
      </c>
    </row>
    <row r="244" spans="1:15" x14ac:dyDescent="0.25">
      <c r="A244" t="s">
        <v>16</v>
      </c>
      <c r="B244" t="s">
        <v>17</v>
      </c>
      <c r="C244" t="s">
        <v>18</v>
      </c>
      <c r="D244" s="3" t="str">
        <f>("027856")</f>
        <v>027856</v>
      </c>
      <c r="E244" t="str">
        <f>("622454278561")</f>
        <v>622454278561</v>
      </c>
      <c r="G244" t="s">
        <v>355</v>
      </c>
      <c r="H244" s="4">
        <v>9.9499999999999993</v>
      </c>
      <c r="I244" t="s">
        <v>20</v>
      </c>
      <c r="J244" s="1">
        <v>46174</v>
      </c>
      <c r="K244">
        <v>1E-3</v>
      </c>
      <c r="L244">
        <v>2E-3</v>
      </c>
      <c r="N244">
        <v>27</v>
      </c>
    </row>
    <row r="245" spans="1:15" x14ac:dyDescent="0.25">
      <c r="A245" t="s">
        <v>16</v>
      </c>
      <c r="B245" t="s">
        <v>17</v>
      </c>
      <c r="C245" t="s">
        <v>18</v>
      </c>
      <c r="D245" s="3" t="str">
        <f>("027857")</f>
        <v>027857</v>
      </c>
      <c r="E245" t="str">
        <f>("622454278578")</f>
        <v>622454278578</v>
      </c>
      <c r="G245" t="s">
        <v>356</v>
      </c>
      <c r="H245" s="4">
        <v>9.9499999999999993</v>
      </c>
      <c r="I245" t="s">
        <v>20</v>
      </c>
      <c r="J245" s="1">
        <v>46174</v>
      </c>
      <c r="K245">
        <v>1E-3</v>
      </c>
      <c r="L245">
        <v>2E-3</v>
      </c>
      <c r="N245">
        <v>27</v>
      </c>
    </row>
    <row r="246" spans="1:15" x14ac:dyDescent="0.25">
      <c r="A246" t="s">
        <v>16</v>
      </c>
      <c r="B246" t="s">
        <v>17</v>
      </c>
      <c r="C246" t="s">
        <v>18</v>
      </c>
      <c r="D246" s="3" t="str">
        <f>("027874")</f>
        <v>027874</v>
      </c>
      <c r="E246" t="str">
        <f>("622454278745")</f>
        <v>622454278745</v>
      </c>
      <c r="F246" t="s">
        <v>357</v>
      </c>
      <c r="G246" t="s">
        <v>358</v>
      </c>
      <c r="H246" s="4">
        <v>26.55</v>
      </c>
      <c r="I246" t="s">
        <v>20</v>
      </c>
      <c r="J246" s="1">
        <v>46174</v>
      </c>
      <c r="K246">
        <v>7.0000000000000001E-3</v>
      </c>
      <c r="L246">
        <v>1.4999999999999999E-2</v>
      </c>
      <c r="M246">
        <v>125</v>
      </c>
      <c r="N246">
        <v>27</v>
      </c>
    </row>
    <row r="247" spans="1:15" x14ac:dyDescent="0.25">
      <c r="A247" t="s">
        <v>16</v>
      </c>
      <c r="B247" t="s">
        <v>17</v>
      </c>
      <c r="C247" t="s">
        <v>18</v>
      </c>
      <c r="D247" s="3" t="str">
        <f>("027875")</f>
        <v>027875</v>
      </c>
      <c r="E247" t="str">
        <f>("622454278752")</f>
        <v>622454278752</v>
      </c>
      <c r="F247" t="s">
        <v>359</v>
      </c>
      <c r="G247" t="s">
        <v>360</v>
      </c>
      <c r="H247" s="4">
        <v>9.9499999999999993</v>
      </c>
      <c r="I247" t="s">
        <v>20</v>
      </c>
      <c r="J247" s="1">
        <v>46174</v>
      </c>
      <c r="K247">
        <v>8.9999999999999993E-3</v>
      </c>
      <c r="L247">
        <v>0.02</v>
      </c>
      <c r="M247">
        <v>200</v>
      </c>
      <c r="N247">
        <v>27</v>
      </c>
    </row>
    <row r="248" spans="1:15" x14ac:dyDescent="0.25">
      <c r="A248" t="s">
        <v>16</v>
      </c>
      <c r="B248" t="s">
        <v>17</v>
      </c>
      <c r="C248" t="s">
        <v>18</v>
      </c>
      <c r="D248" s="3" t="str">
        <f>("027876")</f>
        <v>027876</v>
      </c>
      <c r="E248" t="str">
        <f>("622454278769")</f>
        <v>622454278769</v>
      </c>
      <c r="F248" t="s">
        <v>361</v>
      </c>
      <c r="G248" t="s">
        <v>362</v>
      </c>
      <c r="H248" s="4">
        <v>21.65</v>
      </c>
      <c r="I248" t="s">
        <v>20</v>
      </c>
      <c r="J248" s="1">
        <v>46174</v>
      </c>
      <c r="K248">
        <v>1.2E-2</v>
      </c>
      <c r="L248">
        <v>2.5999999999999999E-2</v>
      </c>
      <c r="M248">
        <v>150</v>
      </c>
      <c r="N248">
        <v>27</v>
      </c>
    </row>
    <row r="249" spans="1:15" x14ac:dyDescent="0.25">
      <c r="A249" t="s">
        <v>16</v>
      </c>
      <c r="B249" t="s">
        <v>17</v>
      </c>
      <c r="C249" t="s">
        <v>18</v>
      </c>
      <c r="D249" s="3" t="str">
        <f>("027878")</f>
        <v>027878</v>
      </c>
      <c r="E249" t="str">
        <f>("622454278783")</f>
        <v>622454278783</v>
      </c>
      <c r="F249" t="s">
        <v>363</v>
      </c>
      <c r="G249" t="s">
        <v>364</v>
      </c>
      <c r="H249" s="4">
        <v>40.700000000000003</v>
      </c>
      <c r="I249" t="s">
        <v>20</v>
      </c>
      <c r="J249" s="1">
        <v>46174</v>
      </c>
      <c r="K249">
        <v>2.4E-2</v>
      </c>
      <c r="L249">
        <v>5.2999999999999999E-2</v>
      </c>
      <c r="M249">
        <v>35</v>
      </c>
      <c r="N249">
        <v>27</v>
      </c>
    </row>
    <row r="250" spans="1:15" x14ac:dyDescent="0.25">
      <c r="A250" t="s">
        <v>16</v>
      </c>
      <c r="B250" t="s">
        <v>17</v>
      </c>
      <c r="C250" t="s">
        <v>18</v>
      </c>
      <c r="D250" s="3" t="str">
        <f>("027880")</f>
        <v>027880</v>
      </c>
      <c r="E250" t="str">
        <f>("622454278806")</f>
        <v>622454278806</v>
      </c>
      <c r="F250" t="s">
        <v>365</v>
      </c>
      <c r="G250" t="s">
        <v>366</v>
      </c>
      <c r="H250" s="4">
        <v>33.950000000000003</v>
      </c>
      <c r="I250" t="s">
        <v>20</v>
      </c>
      <c r="J250" s="1">
        <v>46174</v>
      </c>
      <c r="K250">
        <v>3.5000000000000003E-2</v>
      </c>
      <c r="L250">
        <v>7.6999999999999999E-2</v>
      </c>
      <c r="M250">
        <v>40</v>
      </c>
      <c r="N250">
        <v>27</v>
      </c>
    </row>
    <row r="251" spans="1:15" x14ac:dyDescent="0.25">
      <c r="A251" t="s">
        <v>16</v>
      </c>
      <c r="B251" t="s">
        <v>17</v>
      </c>
      <c r="C251" t="s">
        <v>18</v>
      </c>
      <c r="D251" s="3" t="str">
        <f>("027891")</f>
        <v>027891</v>
      </c>
      <c r="E251" t="str">
        <f>("622454278912")</f>
        <v>622454278912</v>
      </c>
      <c r="G251" t="s">
        <v>367</v>
      </c>
      <c r="H251" s="4">
        <v>53.6</v>
      </c>
      <c r="I251" t="s">
        <v>20</v>
      </c>
      <c r="J251" s="1">
        <v>46174</v>
      </c>
      <c r="K251">
        <v>2.1000000000000001E-2</v>
      </c>
      <c r="L251">
        <v>4.5999999999999999E-2</v>
      </c>
      <c r="M251">
        <v>100</v>
      </c>
      <c r="N251">
        <v>27</v>
      </c>
    </row>
    <row r="252" spans="1:15" x14ac:dyDescent="0.25">
      <c r="A252" t="s">
        <v>16</v>
      </c>
      <c r="B252" t="s">
        <v>17</v>
      </c>
      <c r="C252" t="s">
        <v>18</v>
      </c>
      <c r="D252" s="3" t="str">
        <f>("027900")</f>
        <v>027900</v>
      </c>
      <c r="E252" t="str">
        <f>("622454279001")</f>
        <v>622454279001</v>
      </c>
      <c r="G252" t="s">
        <v>368</v>
      </c>
      <c r="H252" s="4">
        <v>86</v>
      </c>
      <c r="I252" t="s">
        <v>20</v>
      </c>
      <c r="J252" s="1">
        <v>46174</v>
      </c>
      <c r="K252">
        <v>1.7999999999999999E-2</v>
      </c>
      <c r="L252">
        <v>0.04</v>
      </c>
      <c r="M252">
        <v>50</v>
      </c>
      <c r="N252">
        <v>27</v>
      </c>
      <c r="O252" t="s">
        <v>267</v>
      </c>
    </row>
    <row r="253" spans="1:15" x14ac:dyDescent="0.25">
      <c r="A253" t="s">
        <v>16</v>
      </c>
      <c r="B253" t="s">
        <v>17</v>
      </c>
      <c r="C253" t="s">
        <v>18</v>
      </c>
      <c r="D253" s="3" t="str">
        <f>("027949")</f>
        <v>027949</v>
      </c>
      <c r="E253" t="str">
        <f>("622454279490")</f>
        <v>622454279490</v>
      </c>
      <c r="G253" t="s">
        <v>369</v>
      </c>
      <c r="H253" s="4">
        <v>969</v>
      </c>
      <c r="I253" t="s">
        <v>20</v>
      </c>
      <c r="J253" s="1">
        <v>46174</v>
      </c>
      <c r="K253">
        <v>3.17</v>
      </c>
      <c r="L253">
        <v>6.9889999999999999</v>
      </c>
      <c r="M253">
        <v>5</v>
      </c>
      <c r="N253">
        <v>27</v>
      </c>
    </row>
    <row r="254" spans="1:15" x14ac:dyDescent="0.25">
      <c r="A254" t="s">
        <v>16</v>
      </c>
      <c r="B254" t="s">
        <v>17</v>
      </c>
      <c r="C254" t="s">
        <v>18</v>
      </c>
      <c r="D254" s="3" t="str">
        <f>("027950")</f>
        <v>027950</v>
      </c>
      <c r="E254" t="str">
        <f>("622454279506")</f>
        <v>622454279506</v>
      </c>
      <c r="G254" t="s">
        <v>370</v>
      </c>
      <c r="H254" s="4">
        <v>324</v>
      </c>
      <c r="I254" t="s">
        <v>20</v>
      </c>
      <c r="J254" s="1">
        <v>46174</v>
      </c>
      <c r="K254">
        <v>0.29499999999999998</v>
      </c>
      <c r="L254">
        <v>0.65</v>
      </c>
      <c r="M254">
        <v>20</v>
      </c>
      <c r="N254">
        <v>27</v>
      </c>
    </row>
    <row r="255" spans="1:15" x14ac:dyDescent="0.25">
      <c r="A255" t="s">
        <v>16</v>
      </c>
      <c r="B255" t="s">
        <v>17</v>
      </c>
      <c r="C255" t="s">
        <v>18</v>
      </c>
      <c r="D255" s="3" t="str">
        <f>("027983")</f>
        <v>027983</v>
      </c>
      <c r="E255" t="str">
        <f>("622454279834")</f>
        <v>622454279834</v>
      </c>
      <c r="F255" t="s">
        <v>371</v>
      </c>
      <c r="G255" t="s">
        <v>372</v>
      </c>
      <c r="H255" s="4">
        <v>91</v>
      </c>
      <c r="I255" t="s">
        <v>20</v>
      </c>
      <c r="J255" s="1">
        <v>46174</v>
      </c>
      <c r="K255">
        <v>3.5999999999999997E-2</v>
      </c>
      <c r="L255">
        <v>7.9000000000000001E-2</v>
      </c>
      <c r="M255">
        <v>100</v>
      </c>
      <c r="N255">
        <v>27</v>
      </c>
    </row>
    <row r="256" spans="1:15" x14ac:dyDescent="0.25">
      <c r="A256" t="s">
        <v>16</v>
      </c>
      <c r="B256" t="s">
        <v>17</v>
      </c>
      <c r="C256" t="s">
        <v>18</v>
      </c>
      <c r="D256" s="3" t="str">
        <f>("027984")</f>
        <v>027984</v>
      </c>
      <c r="E256" t="str">
        <f>("622454279841")</f>
        <v>622454279841</v>
      </c>
      <c r="F256" t="s">
        <v>373</v>
      </c>
      <c r="G256" t="s">
        <v>374</v>
      </c>
      <c r="H256" s="4">
        <v>74</v>
      </c>
      <c r="I256" t="s">
        <v>20</v>
      </c>
      <c r="J256" s="1">
        <v>46174</v>
      </c>
      <c r="K256">
        <v>5.2999999999999999E-2</v>
      </c>
      <c r="L256">
        <v>0.11700000000000001</v>
      </c>
      <c r="M256">
        <v>80</v>
      </c>
      <c r="N256">
        <v>27</v>
      </c>
    </row>
    <row r="257" spans="1:14" x14ac:dyDescent="0.25">
      <c r="A257" t="s">
        <v>16</v>
      </c>
      <c r="B257" t="s">
        <v>17</v>
      </c>
      <c r="C257" t="s">
        <v>18</v>
      </c>
      <c r="D257" s="3" t="str">
        <f>("027985")</f>
        <v>027985</v>
      </c>
      <c r="E257" t="str">
        <f>("622454279858")</f>
        <v>622454279858</v>
      </c>
      <c r="F257" t="s">
        <v>375</v>
      </c>
      <c r="G257" t="s">
        <v>376</v>
      </c>
      <c r="H257" s="4">
        <v>118</v>
      </c>
      <c r="I257" t="s">
        <v>20</v>
      </c>
      <c r="J257" s="1">
        <v>46174</v>
      </c>
      <c r="K257">
        <v>6.3E-2</v>
      </c>
      <c r="L257">
        <v>0.13900000000000001</v>
      </c>
      <c r="M257">
        <v>50</v>
      </c>
      <c r="N257">
        <v>27</v>
      </c>
    </row>
    <row r="258" spans="1:14" x14ac:dyDescent="0.25">
      <c r="A258" t="s">
        <v>16</v>
      </c>
      <c r="B258" t="s">
        <v>17</v>
      </c>
      <c r="C258" t="s">
        <v>18</v>
      </c>
      <c r="D258" s="3" t="str">
        <f>("027987")</f>
        <v>027987</v>
      </c>
      <c r="E258" t="str">
        <f>("622454279872")</f>
        <v>622454279872</v>
      </c>
      <c r="F258" t="s">
        <v>377</v>
      </c>
      <c r="G258" t="s">
        <v>378</v>
      </c>
      <c r="H258" s="4">
        <v>102</v>
      </c>
      <c r="I258" t="s">
        <v>20</v>
      </c>
      <c r="J258" s="1">
        <v>46174</v>
      </c>
      <c r="K258">
        <v>4.7E-2</v>
      </c>
      <c r="L258">
        <v>0.104</v>
      </c>
      <c r="M258">
        <v>100</v>
      </c>
      <c r="N258">
        <v>27</v>
      </c>
    </row>
    <row r="259" spans="1:14" x14ac:dyDescent="0.25">
      <c r="A259" t="s">
        <v>16</v>
      </c>
      <c r="B259" t="s">
        <v>17</v>
      </c>
      <c r="C259" t="s">
        <v>18</v>
      </c>
      <c r="D259" s="3" t="str">
        <f>("027988")</f>
        <v>027988</v>
      </c>
      <c r="E259" t="str">
        <f>("622454279889")</f>
        <v>622454279889</v>
      </c>
      <c r="F259" t="s">
        <v>379</v>
      </c>
      <c r="G259" t="s">
        <v>380</v>
      </c>
      <c r="H259" s="4">
        <v>91</v>
      </c>
      <c r="I259" t="s">
        <v>20</v>
      </c>
      <c r="J259" s="1">
        <v>46174</v>
      </c>
      <c r="K259">
        <v>5.0999999999999997E-2</v>
      </c>
      <c r="L259">
        <v>0.112</v>
      </c>
      <c r="M259">
        <v>80</v>
      </c>
      <c r="N259">
        <v>27</v>
      </c>
    </row>
    <row r="260" spans="1:14" x14ac:dyDescent="0.25">
      <c r="A260" t="s">
        <v>16</v>
      </c>
      <c r="B260" t="s">
        <v>17</v>
      </c>
      <c r="C260" t="s">
        <v>18</v>
      </c>
      <c r="D260" s="3" t="str">
        <f>("027989")</f>
        <v>027989</v>
      </c>
      <c r="E260" t="str">
        <f>("622454279896")</f>
        <v>622454279896</v>
      </c>
      <c r="G260" t="s">
        <v>381</v>
      </c>
      <c r="H260" s="4">
        <v>153</v>
      </c>
      <c r="I260" t="s">
        <v>20</v>
      </c>
      <c r="J260" s="1">
        <v>46174</v>
      </c>
      <c r="K260">
        <v>6.9000000000000006E-2</v>
      </c>
      <c r="L260">
        <v>0.152</v>
      </c>
      <c r="M260">
        <v>25</v>
      </c>
      <c r="N260">
        <v>27</v>
      </c>
    </row>
    <row r="261" spans="1:14" x14ac:dyDescent="0.25">
      <c r="A261" t="s">
        <v>16</v>
      </c>
      <c r="B261" t="s">
        <v>17</v>
      </c>
      <c r="C261" t="s">
        <v>18</v>
      </c>
      <c r="D261" s="3" t="str">
        <f>("090630")</f>
        <v>090630</v>
      </c>
      <c r="E261" t="str">
        <f>("622454906303")</f>
        <v>622454906303</v>
      </c>
      <c r="G261" t="s">
        <v>382</v>
      </c>
      <c r="H261" s="4">
        <v>17.899999999999999</v>
      </c>
      <c r="I261" t="s">
        <v>20</v>
      </c>
      <c r="J261" s="1">
        <v>46174</v>
      </c>
      <c r="K261">
        <v>0.01</v>
      </c>
      <c r="L261">
        <v>2.1999999999999999E-2</v>
      </c>
      <c r="N261">
        <v>27</v>
      </c>
    </row>
    <row r="262" spans="1:14" x14ac:dyDescent="0.25">
      <c r="A262" t="s">
        <v>16</v>
      </c>
      <c r="B262" t="s">
        <v>17</v>
      </c>
      <c r="C262" t="s">
        <v>18</v>
      </c>
      <c r="D262" s="3" t="str">
        <f>("090631")</f>
        <v>090631</v>
      </c>
      <c r="E262" t="str">
        <f>("622454906310")</f>
        <v>622454906310</v>
      </c>
      <c r="G262" t="s">
        <v>383</v>
      </c>
      <c r="H262" s="4">
        <v>15.45</v>
      </c>
      <c r="I262" t="s">
        <v>20</v>
      </c>
      <c r="J262" s="1">
        <v>46174</v>
      </c>
      <c r="K262">
        <v>1.2999999999999999E-2</v>
      </c>
      <c r="L262">
        <v>2.9000000000000001E-2</v>
      </c>
      <c r="N262">
        <v>27</v>
      </c>
    </row>
    <row r="263" spans="1:14" x14ac:dyDescent="0.25">
      <c r="A263" t="s">
        <v>16</v>
      </c>
      <c r="B263" t="s">
        <v>17</v>
      </c>
      <c r="C263" t="s">
        <v>18</v>
      </c>
      <c r="D263" s="3" t="str">
        <f>("090890")</f>
        <v>090890</v>
      </c>
      <c r="E263" t="str">
        <f>("622454908901")</f>
        <v>622454908901</v>
      </c>
      <c r="G263" t="s">
        <v>384</v>
      </c>
      <c r="H263" s="4">
        <v>57</v>
      </c>
      <c r="I263" t="s">
        <v>20</v>
      </c>
      <c r="J263" s="1">
        <v>46174</v>
      </c>
      <c r="K263">
        <v>1.2999999999999999E-2</v>
      </c>
      <c r="L263">
        <v>2.9000000000000001E-2</v>
      </c>
      <c r="N263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ABSFPN0601261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 Zou</cp:lastModifiedBy>
  <dcterms:created xsi:type="dcterms:W3CDTF">2026-05-13T20:20:23Z</dcterms:created>
  <dcterms:modified xsi:type="dcterms:W3CDTF">2026-05-13T20:20:23Z</dcterms:modified>
</cp:coreProperties>
</file>